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sunnmore-my.sharepoint.com/personal/per_langnes_haram_kommune_no/Documents/Heimekatalog/"/>
    </mc:Choice>
  </mc:AlternateContent>
  <xr:revisionPtr revIDLastSave="1" documentId="8_{725084AB-6F9A-4EDC-BE9D-AA6FE1C43939}" xr6:coauthVersionLast="47" xr6:coauthVersionMax="47" xr10:uidLastSave="{4B1AE064-A2C9-48BC-AE07-47ED1E765A74}"/>
  <bookViews>
    <workbookView xWindow="-120" yWindow="-120" windowWidth="57840" windowHeight="1752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C. Korreksjoner" sheetId="15" r:id="rId7"/>
    <sheet name="4X. Korreksjoner §19" sheetId="13" r:id="rId8"/>
    <sheet name="X. Satser pensjonstilskudd" sheetId="12" r:id="rId9"/>
    <sheet name="X. Budsjett og forskuddsmodul" sheetId="14" r:id="rId10"/>
    <sheet name="X. Utbetalingsmodul" sheetId="10" r:id="rId11"/>
    <sheet name="Endringslogg" sheetId="7" r:id="rId12"/>
    <sheet name="Pensjon Særskilt" sheetId="9" r:id="rId13"/>
    <sheet name="Metadata" sheetId="8" r:id="rId14"/>
  </sheets>
  <definedNames>
    <definedName name="_xlnm._FilterDatabase" localSheetId="3" hidden="1">'3a. Økonomirapport 201'!$A$3:$O$483</definedName>
    <definedName name="_xlnm._FilterDatabase" localSheetId="4" hidden="1">'3b. Økonomirapport 221'!$A$3:$X$96</definedName>
    <definedName name="Barnehagetype" localSheetId="9">factType[Type barnehage]</definedName>
    <definedName name="Barnehagetype">factType[Type barnehage]</definedName>
    <definedName name="Gruppering" localSheetId="7">Tabell4[Gruppering]</definedName>
    <definedName name="Gruppering" localSheetId="9">Tabell4[Gruppering]</definedName>
    <definedName name="Gruppering" localSheetId="8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5" l="1"/>
  <c r="C10" i="1" l="1"/>
  <c r="C9" i="1"/>
  <c r="C8" i="1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S7" i="4"/>
  <c r="E89" i="10" l="1"/>
  <c r="G131" i="14"/>
  <c r="G39" i="10"/>
  <c r="J111" i="10"/>
  <c r="G32" i="14"/>
  <c r="E209" i="14"/>
  <c r="E136" i="14"/>
  <c r="G128" i="10"/>
  <c r="G199" i="10"/>
  <c r="G99" i="14"/>
  <c r="G67" i="14"/>
  <c r="E172" i="14"/>
  <c r="E223" i="10"/>
  <c r="E99" i="14"/>
  <c r="E180" i="10"/>
  <c r="E62" i="14"/>
  <c r="E137" i="10"/>
  <c r="G213" i="14"/>
  <c r="G195" i="14"/>
  <c r="E41" i="10"/>
  <c r="E22" i="14"/>
  <c r="G163" i="14"/>
  <c r="J21" i="10"/>
  <c r="J37" i="10"/>
  <c r="J53" i="10"/>
  <c r="J69" i="10"/>
  <c r="J85" i="10"/>
  <c r="J101" i="10"/>
  <c r="J117" i="10"/>
  <c r="J133" i="10"/>
  <c r="J149" i="10"/>
  <c r="J165" i="10"/>
  <c r="J181" i="10"/>
  <c r="J197" i="10"/>
  <c r="J22" i="10"/>
  <c r="J38" i="10"/>
  <c r="J54" i="10"/>
  <c r="J70" i="10"/>
  <c r="J86" i="10"/>
  <c r="J102" i="10"/>
  <c r="J118" i="10"/>
  <c r="J134" i="10"/>
  <c r="J150" i="10"/>
  <c r="J166" i="10"/>
  <c r="J182" i="10"/>
  <c r="J198" i="10"/>
  <c r="J214" i="10"/>
  <c r="G15" i="10"/>
  <c r="G31" i="10"/>
  <c r="G47" i="10"/>
  <c r="G63" i="10"/>
  <c r="G79" i="10"/>
  <c r="G95" i="10"/>
  <c r="G107" i="10"/>
  <c r="G120" i="10"/>
  <c r="G130" i="10"/>
  <c r="G142" i="10"/>
  <c r="G152" i="10"/>
  <c r="G162" i="10"/>
  <c r="G174" i="10"/>
  <c r="G184" i="10"/>
  <c r="G194" i="10"/>
  <c r="G205" i="10"/>
  <c r="G214" i="10"/>
  <c r="G223" i="10"/>
  <c r="E18" i="10"/>
  <c r="E27" i="10"/>
  <c r="J23" i="10"/>
  <c r="J39" i="10"/>
  <c r="J55" i="10"/>
  <c r="J71" i="10"/>
  <c r="J87" i="10"/>
  <c r="J103" i="10"/>
  <c r="J119" i="10"/>
  <c r="J135" i="10"/>
  <c r="J151" i="10"/>
  <c r="J167" i="10"/>
  <c r="J183" i="10"/>
  <c r="J199" i="10"/>
  <c r="J215" i="10"/>
  <c r="G16" i="10"/>
  <c r="G32" i="10"/>
  <c r="G48" i="10"/>
  <c r="G64" i="10"/>
  <c r="G80" i="10"/>
  <c r="G96" i="10"/>
  <c r="G110" i="10"/>
  <c r="G121" i="10"/>
  <c r="G131" i="10"/>
  <c r="G143" i="10"/>
  <c r="G153" i="10"/>
  <c r="G163" i="10"/>
  <c r="G175" i="10"/>
  <c r="G185" i="10"/>
  <c r="G195" i="10"/>
  <c r="G206" i="10"/>
  <c r="G215" i="10"/>
  <c r="G224" i="10"/>
  <c r="E19" i="10"/>
  <c r="E28" i="10"/>
  <c r="E37" i="10"/>
  <c r="E47" i="10"/>
  <c r="E56" i="10"/>
  <c r="E65" i="10"/>
  <c r="E74" i="10"/>
  <c r="E83" i="10"/>
  <c r="E92" i="10"/>
  <c r="E101" i="10"/>
  <c r="E111" i="10"/>
  <c r="E120" i="10"/>
  <c r="E129" i="10"/>
  <c r="E138" i="10"/>
  <c r="E147" i="10"/>
  <c r="E156" i="10"/>
  <c r="E165" i="10"/>
  <c r="E175" i="10"/>
  <c r="E184" i="10"/>
  <c r="E193" i="10"/>
  <c r="E202" i="10"/>
  <c r="E211" i="10"/>
  <c r="E220" i="10"/>
  <c r="E18" i="14"/>
  <c r="E28" i="14"/>
  <c r="E37" i="14"/>
  <c r="E46" i="14"/>
  <c r="E55" i="14"/>
  <c r="E63" i="14"/>
  <c r="E71" i="14"/>
  <c r="E79" i="14"/>
  <c r="E87" i="14"/>
  <c r="E95" i="14"/>
  <c r="E103" i="14"/>
  <c r="E111" i="14"/>
  <c r="E119" i="14"/>
  <c r="E127" i="14"/>
  <c r="E135" i="14"/>
  <c r="E143" i="14"/>
  <c r="E151" i="14"/>
  <c r="E159" i="14"/>
  <c r="E167" i="14"/>
  <c r="E175" i="14"/>
  <c r="E183" i="14"/>
  <c r="E191" i="14"/>
  <c r="E199" i="14"/>
  <c r="E207" i="14"/>
  <c r="E215" i="14"/>
  <c r="E223" i="14"/>
  <c r="G18" i="14"/>
  <c r="G26" i="14"/>
  <c r="G34" i="14"/>
  <c r="G42" i="14"/>
  <c r="G50" i="14"/>
  <c r="J24" i="10"/>
  <c r="J40" i="10"/>
  <c r="J56" i="10"/>
  <c r="J72" i="10"/>
  <c r="J88" i="10"/>
  <c r="J104" i="10"/>
  <c r="J120" i="10"/>
  <c r="J136" i="10"/>
  <c r="J152" i="10"/>
  <c r="J168" i="10"/>
  <c r="J184" i="10"/>
  <c r="J200" i="10"/>
  <c r="J216" i="10"/>
  <c r="G17" i="10"/>
  <c r="G33" i="10"/>
  <c r="G49" i="10"/>
  <c r="G65" i="10"/>
  <c r="G81" i="10"/>
  <c r="G97" i="10"/>
  <c r="G111" i="10"/>
  <c r="G122" i="10"/>
  <c r="G134" i="10"/>
  <c r="G144" i="10"/>
  <c r="G154" i="10"/>
  <c r="G166" i="10"/>
  <c r="G176" i="10"/>
  <c r="G186" i="10"/>
  <c r="G198" i="10"/>
  <c r="G207" i="10"/>
  <c r="G216" i="10"/>
  <c r="G225" i="10"/>
  <c r="E20" i="10"/>
  <c r="E29" i="10"/>
  <c r="E39" i="10"/>
  <c r="E48" i="10"/>
  <c r="E57" i="10"/>
  <c r="E66" i="10"/>
  <c r="E75" i="10"/>
  <c r="E84" i="10"/>
  <c r="E93" i="10"/>
  <c r="E103" i="10"/>
  <c r="E112" i="10"/>
  <c r="E121" i="10"/>
  <c r="E130" i="10"/>
  <c r="E139" i="10"/>
  <c r="J13" i="10"/>
  <c r="J29" i="10"/>
  <c r="J45" i="10"/>
  <c r="J61" i="10"/>
  <c r="J77" i="10"/>
  <c r="J93" i="10"/>
  <c r="J109" i="10"/>
  <c r="J125" i="10"/>
  <c r="J141" i="10"/>
  <c r="J157" i="10"/>
  <c r="J173" i="10"/>
  <c r="J189" i="10"/>
  <c r="J205" i="10"/>
  <c r="J32" i="10"/>
  <c r="J79" i="10"/>
  <c r="J126" i="10"/>
  <c r="J160" i="10"/>
  <c r="J207" i="10"/>
  <c r="G22" i="10"/>
  <c r="G41" i="10"/>
  <c r="G71" i="10"/>
  <c r="G94" i="10"/>
  <c r="G115" i="10"/>
  <c r="G135" i="10"/>
  <c r="G150" i="10"/>
  <c r="G168" i="10"/>
  <c r="G183" i="10"/>
  <c r="G201" i="10"/>
  <c r="G217" i="10"/>
  <c r="E16" i="10"/>
  <c r="E32" i="10"/>
  <c r="E43" i="10"/>
  <c r="E55" i="10"/>
  <c r="E68" i="10"/>
  <c r="E80" i="10"/>
  <c r="E91" i="10"/>
  <c r="E105" i="10"/>
  <c r="E116" i="10"/>
  <c r="E128" i="10"/>
  <c r="E141" i="10"/>
  <c r="E152" i="10"/>
  <c r="E162" i="10"/>
  <c r="E172" i="10"/>
  <c r="E183" i="10"/>
  <c r="E194" i="10"/>
  <c r="E204" i="10"/>
  <c r="E215" i="10"/>
  <c r="E225" i="10"/>
  <c r="E14" i="14"/>
  <c r="E24" i="14"/>
  <c r="E34" i="14"/>
  <c r="E45" i="14"/>
  <c r="E56" i="14"/>
  <c r="E65" i="14"/>
  <c r="E74" i="14"/>
  <c r="E83" i="14"/>
  <c r="E92" i="14"/>
  <c r="E101" i="14"/>
  <c r="E110" i="14"/>
  <c r="E120" i="14"/>
  <c r="E129" i="14"/>
  <c r="E138" i="14"/>
  <c r="E147" i="14"/>
  <c r="E156" i="14"/>
  <c r="E165" i="14"/>
  <c r="E174" i="14"/>
  <c r="E184" i="14"/>
  <c r="E193" i="14"/>
  <c r="E202" i="14"/>
  <c r="E211" i="14"/>
  <c r="E220" i="14"/>
  <c r="G16" i="14"/>
  <c r="G25" i="14"/>
  <c r="G35" i="14"/>
  <c r="G44" i="14"/>
  <c r="G53" i="14"/>
  <c r="G61" i="14"/>
  <c r="G69" i="14"/>
  <c r="G77" i="14"/>
  <c r="G85" i="14"/>
  <c r="G93" i="14"/>
  <c r="G101" i="14"/>
  <c r="G109" i="14"/>
  <c r="G117" i="14"/>
  <c r="G125" i="14"/>
  <c r="G133" i="14"/>
  <c r="G141" i="14"/>
  <c r="G149" i="14"/>
  <c r="G157" i="14"/>
  <c r="G165" i="14"/>
  <c r="G173" i="14"/>
  <c r="G181" i="14"/>
  <c r="G189" i="14"/>
  <c r="G197" i="14"/>
  <c r="J46" i="10"/>
  <c r="J80" i="10"/>
  <c r="J127" i="10"/>
  <c r="J174" i="10"/>
  <c r="J208" i="10"/>
  <c r="G23" i="10"/>
  <c r="G46" i="10"/>
  <c r="G72" i="10"/>
  <c r="G99" i="10"/>
  <c r="G118" i="10"/>
  <c r="G136" i="10"/>
  <c r="G151" i="10"/>
  <c r="G169" i="10"/>
  <c r="G187" i="10"/>
  <c r="G202" i="10"/>
  <c r="G218" i="10"/>
  <c r="E17" i="10"/>
  <c r="E33" i="10"/>
  <c r="E44" i="10"/>
  <c r="E58" i="10"/>
  <c r="E69" i="10"/>
  <c r="E81" i="10"/>
  <c r="E95" i="10"/>
  <c r="E106" i="10"/>
  <c r="E117" i="10"/>
  <c r="E131" i="10"/>
  <c r="E143" i="10"/>
  <c r="E153" i="10"/>
  <c r="E163" i="10"/>
  <c r="E173" i="10"/>
  <c r="E185" i="10"/>
  <c r="E195" i="10"/>
  <c r="E205" i="10"/>
  <c r="E216" i="10"/>
  <c r="R1" i="2"/>
  <c r="E15" i="14"/>
  <c r="E25" i="14"/>
  <c r="E36" i="14"/>
  <c r="E47" i="14"/>
  <c r="E57" i="14"/>
  <c r="E66" i="14"/>
  <c r="E75" i="14"/>
  <c r="E84" i="14"/>
  <c r="E93" i="14"/>
  <c r="E102" i="14"/>
  <c r="E112" i="14"/>
  <c r="E121" i="14"/>
  <c r="E130" i="14"/>
  <c r="E139" i="14"/>
  <c r="E148" i="14"/>
  <c r="E157" i="14"/>
  <c r="E166" i="14"/>
  <c r="E176" i="14"/>
  <c r="E185" i="14"/>
  <c r="E194" i="14"/>
  <c r="E203" i="14"/>
  <c r="E212" i="14"/>
  <c r="E221" i="14"/>
  <c r="G17" i="14"/>
  <c r="G27" i="14"/>
  <c r="G36" i="14"/>
  <c r="G45" i="14"/>
  <c r="G54" i="14"/>
  <c r="G62" i="14"/>
  <c r="G70" i="14"/>
  <c r="G78" i="14"/>
  <c r="G86" i="14"/>
  <c r="G94" i="14"/>
  <c r="G102" i="14"/>
  <c r="G110" i="14"/>
  <c r="G118" i="14"/>
  <c r="G126" i="14"/>
  <c r="G134" i="14"/>
  <c r="G142" i="14"/>
  <c r="G150" i="14"/>
  <c r="G158" i="14"/>
  <c r="G166" i="14"/>
  <c r="G174" i="14"/>
  <c r="G182" i="14"/>
  <c r="G190" i="14"/>
  <c r="G198" i="14"/>
  <c r="G206" i="14"/>
  <c r="J47" i="10"/>
  <c r="J94" i="10"/>
  <c r="J128" i="10"/>
  <c r="J175" i="10"/>
  <c r="J213" i="10"/>
  <c r="G24" i="10"/>
  <c r="G54" i="10"/>
  <c r="G73" i="10"/>
  <c r="G102" i="10"/>
  <c r="G119" i="10"/>
  <c r="G137" i="10"/>
  <c r="G155" i="10"/>
  <c r="G170" i="10"/>
  <c r="G190" i="10"/>
  <c r="G203" i="10"/>
  <c r="G219" i="10"/>
  <c r="E21" i="10"/>
  <c r="E34" i="10"/>
  <c r="E45" i="10"/>
  <c r="E59" i="10"/>
  <c r="E71" i="10"/>
  <c r="E82" i="10"/>
  <c r="E96" i="10"/>
  <c r="E107" i="10"/>
  <c r="E119" i="10"/>
  <c r="E132" i="10"/>
  <c r="E144" i="10"/>
  <c r="E154" i="10"/>
  <c r="E164" i="10"/>
  <c r="E176" i="10"/>
  <c r="E186" i="10"/>
  <c r="E196" i="10"/>
  <c r="E207" i="10"/>
  <c r="E217" i="10"/>
  <c r="E16" i="14"/>
  <c r="E26" i="14"/>
  <c r="E38" i="14"/>
  <c r="E48" i="14"/>
  <c r="E58" i="14"/>
  <c r="E67" i="14"/>
  <c r="E76" i="14"/>
  <c r="E85" i="14"/>
  <c r="E94" i="14"/>
  <c r="E104" i="14"/>
  <c r="E113" i="14"/>
  <c r="E122" i="14"/>
  <c r="E131" i="14"/>
  <c r="E140" i="14"/>
  <c r="E149" i="14"/>
  <c r="E158" i="14"/>
  <c r="E168" i="14"/>
  <c r="E177" i="14"/>
  <c r="E186" i="14"/>
  <c r="E195" i="14"/>
  <c r="E204" i="14"/>
  <c r="E213" i="14"/>
  <c r="E222" i="14"/>
  <c r="G19" i="14"/>
  <c r="G28" i="14"/>
  <c r="G37" i="14"/>
  <c r="G46" i="14"/>
  <c r="G55" i="14"/>
  <c r="G63" i="14"/>
  <c r="G71" i="14"/>
  <c r="G79" i="14"/>
  <c r="G87" i="14"/>
  <c r="G95" i="14"/>
  <c r="G103" i="14"/>
  <c r="G111" i="14"/>
  <c r="G119" i="14"/>
  <c r="G127" i="14"/>
  <c r="G135" i="14"/>
  <c r="G143" i="14"/>
  <c r="G151" i="14"/>
  <c r="G159" i="14"/>
  <c r="G167" i="14"/>
  <c r="G175" i="14"/>
  <c r="G183" i="14"/>
  <c r="G191" i="14"/>
  <c r="G199" i="14"/>
  <c r="J14" i="10"/>
  <c r="J48" i="10"/>
  <c r="J95" i="10"/>
  <c r="J142" i="10"/>
  <c r="J176" i="10"/>
  <c r="J221" i="10"/>
  <c r="G25" i="10"/>
  <c r="G55" i="10"/>
  <c r="G78" i="10"/>
  <c r="G103" i="10"/>
  <c r="G123" i="10"/>
  <c r="G138" i="10"/>
  <c r="G158" i="10"/>
  <c r="G171" i="10"/>
  <c r="G191" i="10"/>
  <c r="G208" i="10"/>
  <c r="G221" i="10"/>
  <c r="E23" i="10"/>
  <c r="E35" i="10"/>
  <c r="E49" i="10"/>
  <c r="E60" i="10"/>
  <c r="E72" i="10"/>
  <c r="E85" i="10"/>
  <c r="E97" i="10"/>
  <c r="E108" i="10"/>
  <c r="E122" i="10"/>
  <c r="E133" i="10"/>
  <c r="E145" i="10"/>
  <c r="E155" i="10"/>
  <c r="E167" i="10"/>
  <c r="E177" i="10"/>
  <c r="E187" i="10"/>
  <c r="E197" i="10"/>
  <c r="E208" i="10"/>
  <c r="E218" i="10"/>
  <c r="E17" i="14"/>
  <c r="E29" i="14"/>
  <c r="E39" i="14"/>
  <c r="E49" i="14"/>
  <c r="E59" i="14"/>
  <c r="E68" i="14"/>
  <c r="E77" i="14"/>
  <c r="E86" i="14"/>
  <c r="E96" i="14"/>
  <c r="E105" i="14"/>
  <c r="E114" i="14"/>
  <c r="E123" i="14"/>
  <c r="E132" i="14"/>
  <c r="E141" i="14"/>
  <c r="E150" i="14"/>
  <c r="E160" i="14"/>
  <c r="E169" i="14"/>
  <c r="E178" i="14"/>
  <c r="E187" i="14"/>
  <c r="E196" i="14"/>
  <c r="E205" i="14"/>
  <c r="E214" i="14"/>
  <c r="E224" i="14"/>
  <c r="G20" i="14"/>
  <c r="G29" i="14"/>
  <c r="G38" i="14"/>
  <c r="G47" i="14"/>
  <c r="G56" i="14"/>
  <c r="G64" i="14"/>
  <c r="G72" i="14"/>
  <c r="G80" i="14"/>
  <c r="G88" i="14"/>
  <c r="G96" i="14"/>
  <c r="G104" i="14"/>
  <c r="G112" i="14"/>
  <c r="G120" i="14"/>
  <c r="G128" i="14"/>
  <c r="G136" i="14"/>
  <c r="G144" i="14"/>
  <c r="G152" i="14"/>
  <c r="G160" i="14"/>
  <c r="G168" i="14"/>
  <c r="G176" i="14"/>
  <c r="G184" i="14"/>
  <c r="G192" i="14"/>
  <c r="G200" i="14"/>
  <c r="G208" i="14"/>
  <c r="G216" i="14"/>
  <c r="G224" i="14"/>
  <c r="G113" i="14"/>
  <c r="G129" i="14"/>
  <c r="G145" i="14"/>
  <c r="G153" i="14"/>
  <c r="G169" i="14"/>
  <c r="G185" i="14"/>
  <c r="G201" i="14"/>
  <c r="G217" i="14"/>
  <c r="E180" i="14"/>
  <c r="E208" i="14"/>
  <c r="G22" i="14"/>
  <c r="G49" i="14"/>
  <c r="G74" i="14"/>
  <c r="G98" i="14"/>
  <c r="G122" i="14"/>
  <c r="G130" i="14"/>
  <c r="G154" i="14"/>
  <c r="G178" i="14"/>
  <c r="G202" i="14"/>
  <c r="J15" i="10"/>
  <c r="J62" i="10"/>
  <c r="J96" i="10"/>
  <c r="J143" i="10"/>
  <c r="J190" i="10"/>
  <c r="J222" i="10"/>
  <c r="G30" i="10"/>
  <c r="G56" i="10"/>
  <c r="G86" i="10"/>
  <c r="G104" i="10"/>
  <c r="G126" i="10"/>
  <c r="G139" i="10"/>
  <c r="G159" i="10"/>
  <c r="G177" i="10"/>
  <c r="G192" i="10"/>
  <c r="G209" i="10"/>
  <c r="G222" i="10"/>
  <c r="E24" i="10"/>
  <c r="E36" i="10"/>
  <c r="E50" i="10"/>
  <c r="E61" i="10"/>
  <c r="E73" i="10"/>
  <c r="E87" i="10"/>
  <c r="E98" i="10"/>
  <c r="E109" i="10"/>
  <c r="E123" i="10"/>
  <c r="E135" i="10"/>
  <c r="E146" i="10"/>
  <c r="E157" i="10"/>
  <c r="E168" i="10"/>
  <c r="E178" i="10"/>
  <c r="E188" i="10"/>
  <c r="E199" i="10"/>
  <c r="E209" i="10"/>
  <c r="E219" i="10"/>
  <c r="E20" i="14"/>
  <c r="E30" i="14"/>
  <c r="E40" i="14"/>
  <c r="E50" i="14"/>
  <c r="E60" i="14"/>
  <c r="E69" i="14"/>
  <c r="E78" i="14"/>
  <c r="E88" i="14"/>
  <c r="E97" i="14"/>
  <c r="E106" i="14"/>
  <c r="E115" i="14"/>
  <c r="E124" i="14"/>
  <c r="E133" i="14"/>
  <c r="E142" i="14"/>
  <c r="E152" i="14"/>
  <c r="E161" i="14"/>
  <c r="E170" i="14"/>
  <c r="E179" i="14"/>
  <c r="E188" i="14"/>
  <c r="E197" i="14"/>
  <c r="E206" i="14"/>
  <c r="E216" i="14"/>
  <c r="G12" i="14"/>
  <c r="G21" i="14"/>
  <c r="G30" i="14"/>
  <c r="G39" i="14"/>
  <c r="G48" i="14"/>
  <c r="G57" i="14"/>
  <c r="G65" i="14"/>
  <c r="G73" i="14"/>
  <c r="G81" i="14"/>
  <c r="G89" i="14"/>
  <c r="G97" i="14"/>
  <c r="G105" i="14"/>
  <c r="G121" i="14"/>
  <c r="G137" i="14"/>
  <c r="G161" i="14"/>
  <c r="G177" i="14"/>
  <c r="G193" i="14"/>
  <c r="G209" i="14"/>
  <c r="E189" i="14"/>
  <c r="E217" i="14"/>
  <c r="G31" i="14"/>
  <c r="G58" i="14"/>
  <c r="G82" i="14"/>
  <c r="G106" i="14"/>
  <c r="G146" i="14"/>
  <c r="G170" i="14"/>
  <c r="G194" i="14"/>
  <c r="G210" i="14"/>
  <c r="J16" i="10"/>
  <c r="J63" i="10"/>
  <c r="J110" i="10"/>
  <c r="J144" i="10"/>
  <c r="J191" i="10"/>
  <c r="J223" i="10"/>
  <c r="G38" i="10"/>
  <c r="G57" i="10"/>
  <c r="G87" i="10"/>
  <c r="G105" i="10"/>
  <c r="G127" i="10"/>
  <c r="G145" i="10"/>
  <c r="G160" i="10"/>
  <c r="G178" i="10"/>
  <c r="G193" i="10"/>
  <c r="G210" i="10"/>
  <c r="E12" i="10"/>
  <c r="E25" i="10"/>
  <c r="E40" i="10"/>
  <c r="E51" i="10"/>
  <c r="E63" i="10"/>
  <c r="E76" i="10"/>
  <c r="E88" i="10"/>
  <c r="E99" i="10"/>
  <c r="E113" i="10"/>
  <c r="E124" i="10"/>
  <c r="E136" i="10"/>
  <c r="E148" i="10"/>
  <c r="E159" i="10"/>
  <c r="E169" i="10"/>
  <c r="E179" i="10"/>
  <c r="E189" i="10"/>
  <c r="E200" i="10"/>
  <c r="E210" i="10"/>
  <c r="E221" i="10"/>
  <c r="E21" i="14"/>
  <c r="E31" i="14"/>
  <c r="E41" i="14"/>
  <c r="E52" i="14"/>
  <c r="E61" i="14"/>
  <c r="E70" i="14"/>
  <c r="E80" i="14"/>
  <c r="E89" i="14"/>
  <c r="E98" i="14"/>
  <c r="E107" i="14"/>
  <c r="E116" i="14"/>
  <c r="E125" i="14"/>
  <c r="E134" i="14"/>
  <c r="E144" i="14"/>
  <c r="E153" i="14"/>
  <c r="E162" i="14"/>
  <c r="E171" i="14"/>
  <c r="E198" i="14"/>
  <c r="G13" i="14"/>
  <c r="G40" i="14"/>
  <c r="G66" i="14"/>
  <c r="G90" i="14"/>
  <c r="G114" i="14"/>
  <c r="G138" i="14"/>
  <c r="G162" i="14"/>
  <c r="G186" i="14"/>
  <c r="G218" i="14"/>
  <c r="E164" i="14"/>
  <c r="E31" i="10"/>
  <c r="G15" i="14"/>
  <c r="E82" i="14"/>
  <c r="E44" i="14"/>
  <c r="E203" i="10"/>
  <c r="E161" i="10"/>
  <c r="E115" i="10"/>
  <c r="E67" i="10"/>
  <c r="E15" i="10"/>
  <c r="G167" i="10"/>
  <c r="G89" i="10"/>
  <c r="J206" i="10"/>
  <c r="J31" i="10"/>
  <c r="J17" i="10"/>
  <c r="G156" i="14"/>
  <c r="G92" i="14"/>
  <c r="E201" i="14"/>
  <c r="E13" i="14"/>
  <c r="E127" i="10"/>
  <c r="J78" i="10"/>
  <c r="G187" i="14"/>
  <c r="G123" i="14"/>
  <c r="G23" i="14"/>
  <c r="E163" i="14"/>
  <c r="E53" i="14"/>
  <c r="E212" i="10"/>
  <c r="E77" i="10"/>
  <c r="G179" i="10"/>
  <c r="J224" i="10"/>
  <c r="G180" i="14"/>
  <c r="G52" i="14"/>
  <c r="G220" i="14"/>
  <c r="G115" i="14"/>
  <c r="G83" i="14"/>
  <c r="G51" i="14"/>
  <c r="G14" i="14"/>
  <c r="E190" i="14"/>
  <c r="E154" i="14"/>
  <c r="E117" i="14"/>
  <c r="E81" i="14"/>
  <c r="E42" i="14"/>
  <c r="E201" i="10"/>
  <c r="E160" i="10"/>
  <c r="E114" i="10"/>
  <c r="E64" i="10"/>
  <c r="E13" i="10"/>
  <c r="G161" i="10"/>
  <c r="G88" i="10"/>
  <c r="J192" i="10"/>
  <c r="J30" i="10"/>
  <c r="G188" i="14"/>
  <c r="E128" i="14"/>
  <c r="G182" i="10"/>
  <c r="G221" i="14"/>
  <c r="G84" i="14"/>
  <c r="G205" i="14"/>
  <c r="G204" i="14"/>
  <c r="G43" i="14"/>
  <c r="E109" i="14"/>
  <c r="E33" i="14"/>
  <c r="E192" i="10"/>
  <c r="E151" i="10"/>
  <c r="E104" i="10"/>
  <c r="E53" i="10"/>
  <c r="G213" i="10"/>
  <c r="G147" i="10"/>
  <c r="G70" i="10"/>
  <c r="J159" i="10"/>
  <c r="G223" i="14"/>
  <c r="E54" i="14"/>
  <c r="G14" i="10"/>
  <c r="G148" i="14"/>
  <c r="E155" i="14"/>
  <c r="G147" i="14"/>
  <c r="G140" i="14"/>
  <c r="E182" i="14"/>
  <c r="G215" i="14"/>
  <c r="G75" i="14"/>
  <c r="E72" i="14"/>
  <c r="E100" i="10"/>
  <c r="G146" i="10"/>
  <c r="J158" i="10"/>
  <c r="J19" i="10"/>
  <c r="G212" i="14"/>
  <c r="G124" i="14"/>
  <c r="G60" i="14"/>
  <c r="G24" i="14"/>
  <c r="E91" i="14"/>
  <c r="E213" i="10"/>
  <c r="E171" i="10"/>
  <c r="E79" i="10"/>
  <c r="G113" i="10"/>
  <c r="B41" i="6"/>
  <c r="B42" i="6"/>
  <c r="G222" i="14"/>
  <c r="G211" i="14"/>
  <c r="G155" i="14"/>
  <c r="G91" i="14"/>
  <c r="G59" i="14"/>
  <c r="E200" i="14"/>
  <c r="E126" i="14"/>
  <c r="E90" i="14"/>
  <c r="E12" i="14"/>
  <c r="E170" i="10"/>
  <c r="E125" i="10"/>
  <c r="E26" i="10"/>
  <c r="G112" i="10"/>
  <c r="J64" i="10"/>
  <c r="G207" i="14"/>
  <c r="G116" i="14"/>
  <c r="E192" i="14"/>
  <c r="E118" i="14"/>
  <c r="G179" i="14"/>
  <c r="G219" i="14"/>
  <c r="G172" i="14"/>
  <c r="G108" i="14"/>
  <c r="G76" i="14"/>
  <c r="E219" i="14"/>
  <c r="E146" i="14"/>
  <c r="E73" i="14"/>
  <c r="G203" i="14"/>
  <c r="G171" i="14"/>
  <c r="G139" i="14"/>
  <c r="G107" i="14"/>
  <c r="G41" i="14"/>
  <c r="E218" i="14"/>
  <c r="E181" i="14"/>
  <c r="E145" i="14"/>
  <c r="E108" i="14"/>
  <c r="E32" i="14"/>
  <c r="E191" i="10"/>
  <c r="E149" i="10"/>
  <c r="E52" i="10"/>
  <c r="G211" i="10"/>
  <c r="G62" i="10"/>
  <c r="G214" i="14"/>
  <c r="G196" i="14"/>
  <c r="G164" i="14"/>
  <c r="G132" i="14"/>
  <c r="G100" i="14"/>
  <c r="G68" i="14"/>
  <c r="G33" i="14"/>
  <c r="E210" i="14"/>
  <c r="E173" i="14"/>
  <c r="E137" i="14"/>
  <c r="E100" i="14"/>
  <c r="E64" i="14"/>
  <c r="E23" i="14"/>
  <c r="E224" i="10"/>
  <c r="E181" i="10"/>
  <c r="E140" i="10"/>
  <c r="E90" i="10"/>
  <c r="E42" i="10"/>
  <c r="G200" i="10"/>
  <c r="G129" i="10"/>
  <c r="G40" i="10"/>
  <c r="J112" i="10"/>
  <c r="G197" i="10"/>
  <c r="G189" i="10"/>
  <c r="G181" i="10"/>
  <c r="G173" i="10"/>
  <c r="G165" i="10"/>
  <c r="G157" i="10"/>
  <c r="G149" i="10"/>
  <c r="G141" i="10"/>
  <c r="G133" i="10"/>
  <c r="G125" i="10"/>
  <c r="G117" i="10"/>
  <c r="G109" i="10"/>
  <c r="G101" i="10"/>
  <c r="G93" i="10"/>
  <c r="G85" i="10"/>
  <c r="G77" i="10"/>
  <c r="G69" i="10"/>
  <c r="G61" i="10"/>
  <c r="G53" i="10"/>
  <c r="G45" i="10"/>
  <c r="G37" i="10"/>
  <c r="G29" i="10"/>
  <c r="G21" i="10"/>
  <c r="G13" i="10"/>
  <c r="J220" i="10"/>
  <c r="J212" i="10"/>
  <c r="J204" i="10"/>
  <c r="J196" i="10"/>
  <c r="J188" i="10"/>
  <c r="J180" i="10"/>
  <c r="J172" i="10"/>
  <c r="J164" i="10"/>
  <c r="J156" i="10"/>
  <c r="J148" i="10"/>
  <c r="J140" i="10"/>
  <c r="J132" i="10"/>
  <c r="J124" i="10"/>
  <c r="J116" i="10"/>
  <c r="J108" i="10"/>
  <c r="J100" i="10"/>
  <c r="J92" i="10"/>
  <c r="J84" i="10"/>
  <c r="J76" i="10"/>
  <c r="J68" i="10"/>
  <c r="J60" i="10"/>
  <c r="J52" i="10"/>
  <c r="J44" i="10"/>
  <c r="J36" i="10"/>
  <c r="J28" i="10"/>
  <c r="J20" i="10"/>
  <c r="E51" i="14"/>
  <c r="E43" i="14"/>
  <c r="E35" i="14"/>
  <c r="E27" i="14"/>
  <c r="E19" i="14"/>
  <c r="E222" i="10"/>
  <c r="E214" i="10"/>
  <c r="E206" i="10"/>
  <c r="E198" i="10"/>
  <c r="E190" i="10"/>
  <c r="E182" i="10"/>
  <c r="E174" i="10"/>
  <c r="E166" i="10"/>
  <c r="E158" i="10"/>
  <c r="E150" i="10"/>
  <c r="E142" i="10"/>
  <c r="E134" i="10"/>
  <c r="E126" i="10"/>
  <c r="E118" i="10"/>
  <c r="E110" i="10"/>
  <c r="E102" i="10"/>
  <c r="E94" i="10"/>
  <c r="E86" i="10"/>
  <c r="E78" i="10"/>
  <c r="E70" i="10"/>
  <c r="E62" i="10"/>
  <c r="E54" i="10"/>
  <c r="E46" i="10"/>
  <c r="E38" i="10"/>
  <c r="E30" i="10"/>
  <c r="E22" i="10"/>
  <c r="E14" i="10"/>
  <c r="G220" i="10"/>
  <c r="G212" i="10"/>
  <c r="G204" i="10"/>
  <c r="G196" i="10"/>
  <c r="G188" i="10"/>
  <c r="G180" i="10"/>
  <c r="G172" i="10"/>
  <c r="G164" i="10"/>
  <c r="G156" i="10"/>
  <c r="G148" i="10"/>
  <c r="G140" i="10"/>
  <c r="G132" i="10"/>
  <c r="G124" i="10"/>
  <c r="G116" i="10"/>
  <c r="G108" i="10"/>
  <c r="G100" i="10"/>
  <c r="G92" i="10"/>
  <c r="G84" i="10"/>
  <c r="G76" i="10"/>
  <c r="G68" i="10"/>
  <c r="G60" i="10"/>
  <c r="G52" i="10"/>
  <c r="G44" i="10"/>
  <c r="G36" i="10"/>
  <c r="G28" i="10"/>
  <c r="G20" i="10"/>
  <c r="G12" i="10"/>
  <c r="J219" i="10"/>
  <c r="J211" i="10"/>
  <c r="J203" i="10"/>
  <c r="J195" i="10"/>
  <c r="J187" i="10"/>
  <c r="J179" i="10"/>
  <c r="J171" i="10"/>
  <c r="J163" i="10"/>
  <c r="J155" i="10"/>
  <c r="J147" i="10"/>
  <c r="J139" i="10"/>
  <c r="J131" i="10"/>
  <c r="J123" i="10"/>
  <c r="J115" i="10"/>
  <c r="J107" i="10"/>
  <c r="J99" i="10"/>
  <c r="J91" i="10"/>
  <c r="J83" i="10"/>
  <c r="J75" i="10"/>
  <c r="J67" i="10"/>
  <c r="J59" i="10"/>
  <c r="J51" i="10"/>
  <c r="J43" i="10"/>
  <c r="J35" i="10"/>
  <c r="J27" i="10"/>
  <c r="G91" i="10"/>
  <c r="G83" i="10"/>
  <c r="G75" i="10"/>
  <c r="G67" i="10"/>
  <c r="G59" i="10"/>
  <c r="G51" i="10"/>
  <c r="G43" i="10"/>
  <c r="G35" i="10"/>
  <c r="G27" i="10"/>
  <c r="G19" i="10"/>
  <c r="J12" i="10"/>
  <c r="J218" i="10"/>
  <c r="J210" i="10"/>
  <c r="J202" i="10"/>
  <c r="J194" i="10"/>
  <c r="J186" i="10"/>
  <c r="J178" i="10"/>
  <c r="J170" i="10"/>
  <c r="J162" i="10"/>
  <c r="J154" i="10"/>
  <c r="J146" i="10"/>
  <c r="J138" i="10"/>
  <c r="J130" i="10"/>
  <c r="J122" i="10"/>
  <c r="J114" i="10"/>
  <c r="J106" i="10"/>
  <c r="J98" i="10"/>
  <c r="J90" i="10"/>
  <c r="J82" i="10"/>
  <c r="J74" i="10"/>
  <c r="J66" i="10"/>
  <c r="J58" i="10"/>
  <c r="J50" i="10"/>
  <c r="J42" i="10"/>
  <c r="J34" i="10"/>
  <c r="J26" i="10"/>
  <c r="J18" i="10"/>
  <c r="G114" i="10"/>
  <c r="G106" i="10"/>
  <c r="G98" i="10"/>
  <c r="G90" i="10"/>
  <c r="G82" i="10"/>
  <c r="G74" i="10"/>
  <c r="G66" i="10"/>
  <c r="G58" i="10"/>
  <c r="G50" i="10"/>
  <c r="G42" i="10"/>
  <c r="G34" i="10"/>
  <c r="G26" i="10"/>
  <c r="G18" i="10"/>
  <c r="J225" i="10"/>
  <c r="J217" i="10"/>
  <c r="J209" i="10"/>
  <c r="J201" i="10"/>
  <c r="J193" i="10"/>
  <c r="J185" i="10"/>
  <c r="J177" i="10"/>
  <c r="J169" i="10"/>
  <c r="J161" i="10"/>
  <c r="J153" i="10"/>
  <c r="J145" i="10"/>
  <c r="J137" i="10"/>
  <c r="J129" i="10"/>
  <c r="J121" i="10"/>
  <c r="J113" i="10"/>
  <c r="J105" i="10"/>
  <c r="J97" i="10"/>
  <c r="J89" i="10"/>
  <c r="J81" i="10"/>
  <c r="J73" i="10"/>
  <c r="J65" i="10"/>
  <c r="J57" i="10"/>
  <c r="J49" i="10"/>
  <c r="J41" i="10"/>
  <c r="J33" i="10"/>
  <c r="J25" i="10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X4" i="5"/>
  <c r="W4" i="5"/>
  <c r="V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4" i="5"/>
  <c r="X24" i="4"/>
  <c r="V25" i="4"/>
  <c r="U5" i="4"/>
  <c r="U6" i="4"/>
  <c r="X6" i="4" s="1"/>
  <c r="U7" i="4"/>
  <c r="W7" i="4" s="1"/>
  <c r="U8" i="4"/>
  <c r="X8" i="4" s="1"/>
  <c r="U9" i="4"/>
  <c r="V9" i="4" s="1"/>
  <c r="U10" i="4"/>
  <c r="W10" i="4" s="1"/>
  <c r="U11" i="4"/>
  <c r="X11" i="4" s="1"/>
  <c r="U12" i="4"/>
  <c r="X12" i="4" s="1"/>
  <c r="U13" i="4"/>
  <c r="X13" i="4" s="1"/>
  <c r="U14" i="4"/>
  <c r="X14" i="4" s="1"/>
  <c r="U15" i="4"/>
  <c r="X15" i="4" s="1"/>
  <c r="U16" i="4"/>
  <c r="X16" i="4" s="1"/>
  <c r="U17" i="4"/>
  <c r="X17" i="4" s="1"/>
  <c r="U18" i="4"/>
  <c r="X18" i="4" s="1"/>
  <c r="U19" i="4"/>
  <c r="V19" i="4" s="1"/>
  <c r="U20" i="4"/>
  <c r="V20" i="4" s="1"/>
  <c r="U21" i="4"/>
  <c r="W21" i="4" s="1"/>
  <c r="U4" i="4"/>
  <c r="X4" i="4" s="1"/>
  <c r="X5" i="4"/>
  <c r="X22" i="4"/>
  <c r="X23" i="4"/>
  <c r="X25" i="4"/>
  <c r="X26" i="4"/>
  <c r="X27" i="4"/>
  <c r="W5" i="4"/>
  <c r="W6" i="4"/>
  <c r="W17" i="4"/>
  <c r="W18" i="4"/>
  <c r="W22" i="4"/>
  <c r="W23" i="4"/>
  <c r="W24" i="4"/>
  <c r="W25" i="4"/>
  <c r="W26" i="4"/>
  <c r="W27" i="4"/>
  <c r="V5" i="4"/>
  <c r="V6" i="4"/>
  <c r="V17" i="4"/>
  <c r="V18" i="4"/>
  <c r="V22" i="4"/>
  <c r="V23" i="4"/>
  <c r="V24" i="4"/>
  <c r="V26" i="4"/>
  <c r="V27" i="4"/>
  <c r="S4" i="4"/>
  <c r="S5" i="4"/>
  <c r="S6" i="4"/>
  <c r="S8" i="4"/>
  <c r="S9" i="4"/>
  <c r="S10" i="4"/>
  <c r="S11" i="4"/>
  <c r="B50" i="6" s="1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X19" i="4" l="1"/>
  <c r="W19" i="4"/>
  <c r="W20" i="4"/>
  <c r="V8" i="4"/>
  <c r="V7" i="4"/>
  <c r="W8" i="4"/>
  <c r="X7" i="4"/>
  <c r="W9" i="4"/>
  <c r="V4" i="4"/>
  <c r="X20" i="4"/>
  <c r="V21" i="4"/>
  <c r="X21" i="4"/>
  <c r="W4" i="4"/>
  <c r="X10" i="4"/>
  <c r="X9" i="4"/>
  <c r="V16" i="4"/>
  <c r="W16" i="4"/>
  <c r="V15" i="4"/>
  <c r="W15" i="4"/>
  <c r="V14" i="4"/>
  <c r="W14" i="4"/>
  <c r="V13" i="4"/>
  <c r="W13" i="4"/>
  <c r="V12" i="4"/>
  <c r="W12" i="4"/>
  <c r="V11" i="4"/>
  <c r="W11" i="4"/>
  <c r="V10" i="4"/>
  <c r="C5" i="12" l="1" a="1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C5" i="12" l="1"/>
  <c r="C5" i="10" s="1"/>
  <c r="G7" i="12"/>
  <c r="H7" i="12" s="1"/>
  <c r="G10" i="12"/>
  <c r="H10" i="12" s="1"/>
  <c r="G6" i="12"/>
  <c r="H6" i="12" s="1"/>
  <c r="G8" i="12"/>
  <c r="H8" i="12" s="1"/>
  <c r="G9" i="12"/>
  <c r="H9" i="12" s="1"/>
  <c r="J9" i="14"/>
  <c r="C11" i="10"/>
  <c r="J11" i="14"/>
  <c r="C10" i="10"/>
  <c r="J10" i="14"/>
  <c r="C9" i="10"/>
  <c r="J6" i="14"/>
  <c r="C8" i="10"/>
  <c r="J8" i="14"/>
  <c r="C7" i="10"/>
  <c r="J7" i="14"/>
  <c r="C6" i="10"/>
  <c r="B48" i="6"/>
  <c r="J5" i="14" l="1"/>
  <c r="E5" i="10"/>
  <c r="G5" i="10"/>
  <c r="J5" i="10"/>
  <c r="G9" i="10"/>
  <c r="J9" i="10"/>
  <c r="E9" i="10"/>
  <c r="E10" i="10"/>
  <c r="G10" i="10"/>
  <c r="J10" i="10"/>
  <c r="E7" i="10"/>
  <c r="J7" i="10"/>
  <c r="G7" i="10"/>
  <c r="J8" i="10"/>
  <c r="G8" i="10"/>
  <c r="E8" i="10"/>
  <c r="J11" i="10"/>
  <c r="G11" i="10"/>
  <c r="E11" i="10"/>
  <c r="G6" i="10"/>
  <c r="J6" i="10"/>
  <c r="E6" i="10"/>
  <c r="G5" i="12"/>
  <c r="H5" i="12" s="1"/>
  <c r="C12" i="14"/>
  <c r="C13" i="14"/>
  <c r="C14" i="14"/>
  <c r="C15" i="14"/>
  <c r="K15" i="14" s="1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203" i="14"/>
  <c r="C204" i="14"/>
  <c r="C205" i="14"/>
  <c r="C206" i="14"/>
  <c r="C207" i="14"/>
  <c r="C208" i="14"/>
  <c r="C209" i="14"/>
  <c r="C210" i="14"/>
  <c r="C211" i="14"/>
  <c r="C212" i="14"/>
  <c r="C213" i="14"/>
  <c r="C214" i="14"/>
  <c r="C215" i="14"/>
  <c r="C216" i="14"/>
  <c r="C217" i="14"/>
  <c r="C218" i="14"/>
  <c r="C219" i="14"/>
  <c r="C220" i="14"/>
  <c r="C221" i="14"/>
  <c r="C222" i="14"/>
  <c r="C223" i="14"/>
  <c r="C224" i="14"/>
  <c r="B12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B5" i="12" a="1"/>
  <c r="E16" i="8"/>
  <c r="B5" i="12" l="1"/>
  <c r="B10" i="10"/>
  <c r="B11" i="10"/>
  <c r="B6" i="10"/>
  <c r="B9" i="10"/>
  <c r="B7" i="10"/>
  <c r="B8" i="10"/>
  <c r="M97" i="10"/>
  <c r="M111" i="10"/>
  <c r="M180" i="10"/>
  <c r="M167" i="10"/>
  <c r="M82" i="10"/>
  <c r="C5" i="14"/>
  <c r="M193" i="10"/>
  <c r="M151" i="10"/>
  <c r="M123" i="10"/>
  <c r="M95" i="10"/>
  <c r="M81" i="10"/>
  <c r="M53" i="10"/>
  <c r="M39" i="10"/>
  <c r="M25" i="10"/>
  <c r="M10" i="10"/>
  <c r="M217" i="10"/>
  <c r="M203" i="10"/>
  <c r="M189" i="10"/>
  <c r="M175" i="10"/>
  <c r="M161" i="10"/>
  <c r="M147" i="10"/>
  <c r="M133" i="10"/>
  <c r="M119" i="10"/>
  <c r="M105" i="10"/>
  <c r="M91" i="10"/>
  <c r="M77" i="10"/>
  <c r="M63" i="10"/>
  <c r="M49" i="10"/>
  <c r="M35" i="10"/>
  <c r="M21" i="10"/>
  <c r="M204" i="10"/>
  <c r="M190" i="10"/>
  <c r="M176" i="10"/>
  <c r="M162" i="10"/>
  <c r="M148" i="10"/>
  <c r="M134" i="10"/>
  <c r="M120" i="10"/>
  <c r="M106" i="10"/>
  <c r="M92" i="10"/>
  <c r="M78" i="10"/>
  <c r="M64" i="10"/>
  <c r="M50" i="10"/>
  <c r="M36" i="10"/>
  <c r="M22" i="10"/>
  <c r="M6" i="10"/>
  <c r="M124" i="10"/>
  <c r="M96" i="10"/>
  <c r="M146" i="10"/>
  <c r="M197" i="10"/>
  <c r="M169" i="10"/>
  <c r="M141" i="10"/>
  <c r="M127" i="10"/>
  <c r="M113" i="10"/>
  <c r="M99" i="10"/>
  <c r="M85" i="10"/>
  <c r="M71" i="10"/>
  <c r="M57" i="10"/>
  <c r="M43" i="10"/>
  <c r="M29" i="10"/>
  <c r="M15" i="10"/>
  <c r="M216" i="10"/>
  <c r="M202" i="10"/>
  <c r="M188" i="10"/>
  <c r="M174" i="10"/>
  <c r="M160" i="10"/>
  <c r="M132" i="10"/>
  <c r="M118" i="10"/>
  <c r="M104" i="10"/>
  <c r="M90" i="10"/>
  <c r="M76" i="10"/>
  <c r="M62" i="10"/>
  <c r="M48" i="10"/>
  <c r="M34" i="10"/>
  <c r="M20" i="10"/>
  <c r="M83" i="10"/>
  <c r="M55" i="10"/>
  <c r="M12" i="10"/>
  <c r="M68" i="10"/>
  <c r="M54" i="10"/>
  <c r="M40" i="10"/>
  <c r="M26" i="10"/>
  <c r="M219" i="10"/>
  <c r="M205" i="10"/>
  <c r="M191" i="10"/>
  <c r="M177" i="10"/>
  <c r="M149" i="10"/>
  <c r="M121" i="10"/>
  <c r="M107" i="10"/>
  <c r="M93" i="10"/>
  <c r="M65" i="10"/>
  <c r="M51" i="10"/>
  <c r="M23" i="10"/>
  <c r="M150" i="10"/>
  <c r="M52" i="10"/>
  <c r="M38" i="10"/>
  <c r="M194" i="10"/>
  <c r="M166" i="10"/>
  <c r="M152" i="10"/>
  <c r="M138" i="10"/>
  <c r="M110" i="10"/>
  <c r="M11" i="10"/>
  <c r="M58" i="10"/>
  <c r="M163" i="10"/>
  <c r="M135" i="10"/>
  <c r="M79" i="10"/>
  <c r="M37" i="10"/>
  <c r="M8" i="10"/>
  <c r="M218" i="10"/>
  <c r="M125" i="10"/>
  <c r="M69" i="10"/>
  <c r="M27" i="10"/>
  <c r="M206" i="10"/>
  <c r="M192" i="10"/>
  <c r="M178" i="10"/>
  <c r="M122" i="10"/>
  <c r="M108" i="10"/>
  <c r="M94" i="10"/>
  <c r="M80" i="10"/>
  <c r="M66" i="10"/>
  <c r="M24" i="10"/>
  <c r="M9" i="10"/>
  <c r="M60" i="10"/>
  <c r="M220" i="10"/>
  <c r="M164" i="10"/>
  <c r="M136" i="10"/>
  <c r="C11" i="14"/>
  <c r="M209" i="10"/>
  <c r="M195" i="10"/>
  <c r="M181" i="10"/>
  <c r="M153" i="10"/>
  <c r="M139" i="10"/>
  <c r="M41" i="10"/>
  <c r="G11" i="12"/>
  <c r="C9" i="14"/>
  <c r="B10" i="14"/>
  <c r="C8" i="14"/>
  <c r="C10" i="14"/>
  <c r="M221" i="10"/>
  <c r="M207" i="10"/>
  <c r="M179" i="10"/>
  <c r="M165" i="10"/>
  <c r="M137" i="10"/>
  <c r="M109" i="10"/>
  <c r="M67" i="10"/>
  <c r="B9" i="14"/>
  <c r="C7" i="14"/>
  <c r="B8" i="14"/>
  <c r="C6" i="14"/>
  <c r="B7" i="14"/>
  <c r="B6" i="14"/>
  <c r="B11" i="14"/>
  <c r="K14" i="14"/>
  <c r="K13" i="14"/>
  <c r="M157" i="10"/>
  <c r="M143" i="10"/>
  <c r="M59" i="10"/>
  <c r="M45" i="10"/>
  <c r="M225" i="10"/>
  <c r="M211" i="10"/>
  <c r="M183" i="10"/>
  <c r="M155" i="10"/>
  <c r="M156" i="10"/>
  <c r="M44" i="10"/>
  <c r="M212" i="10"/>
  <c r="M142" i="10"/>
  <c r="M87" i="10"/>
  <c r="M73" i="10"/>
  <c r="M31" i="10"/>
  <c r="M17" i="10"/>
  <c r="M5" i="10"/>
  <c r="M172" i="10"/>
  <c r="M158" i="10"/>
  <c r="M144" i="10"/>
  <c r="M130" i="10"/>
  <c r="M116" i="10"/>
  <c r="M102" i="10"/>
  <c r="M88" i="10"/>
  <c r="M74" i="10"/>
  <c r="M46" i="10"/>
  <c r="M32" i="10"/>
  <c r="M18" i="10"/>
  <c r="M199" i="10"/>
  <c r="M185" i="10"/>
  <c r="M171" i="10"/>
  <c r="M129" i="10"/>
  <c r="M115" i="10"/>
  <c r="M101" i="10"/>
  <c r="M198" i="10"/>
  <c r="M184" i="10"/>
  <c r="M170" i="10"/>
  <c r="M128" i="10"/>
  <c r="M114" i="10"/>
  <c r="M100" i="10"/>
  <c r="M86" i="10"/>
  <c r="M72" i="10"/>
  <c r="M30" i="10"/>
  <c r="M16" i="10"/>
  <c r="M222" i="10"/>
  <c r="M215" i="10"/>
  <c r="M187" i="10"/>
  <c r="M159" i="10"/>
  <c r="M145" i="10"/>
  <c r="M131" i="10"/>
  <c r="M117" i="10"/>
  <c r="M89" i="10"/>
  <c r="M75" i="10"/>
  <c r="M61" i="10"/>
  <c r="M47" i="10"/>
  <c r="M33" i="10"/>
  <c r="M19" i="10"/>
  <c r="M214" i="10"/>
  <c r="M200" i="10"/>
  <c r="M186" i="10"/>
  <c r="M201" i="10"/>
  <c r="M173" i="10"/>
  <c r="M103" i="10"/>
  <c r="M224" i="10"/>
  <c r="M210" i="10"/>
  <c r="M196" i="10"/>
  <c r="M182" i="10"/>
  <c r="M168" i="10"/>
  <c r="M154" i="10"/>
  <c r="M140" i="10"/>
  <c r="M126" i="10"/>
  <c r="M112" i="10"/>
  <c r="M98" i="10"/>
  <c r="M84" i="10"/>
  <c r="M70" i="10"/>
  <c r="M56" i="10"/>
  <c r="M42" i="10"/>
  <c r="M28" i="10"/>
  <c r="M14" i="10"/>
  <c r="M213" i="10"/>
  <c r="M223" i="10"/>
  <c r="M208" i="10"/>
  <c r="T225" i="10"/>
  <c r="S225" i="14"/>
  <c r="B5" i="6"/>
  <c r="B49" i="6"/>
  <c r="B33" i="6"/>
  <c r="E6" i="14" l="1"/>
  <c r="G6" i="14"/>
  <c r="G11" i="14"/>
  <c r="E11" i="14"/>
  <c r="G5" i="14"/>
  <c r="E5" i="14"/>
  <c r="G10" i="14"/>
  <c r="E10" i="14"/>
  <c r="E7" i="14"/>
  <c r="G7" i="14"/>
  <c r="G8" i="14"/>
  <c r="E8" i="14"/>
  <c r="G9" i="14"/>
  <c r="E9" i="14"/>
  <c r="B5" i="14"/>
  <c r="B5" i="10"/>
  <c r="B43" i="6"/>
  <c r="B45" i="6" l="1"/>
  <c r="B44" i="6"/>
  <c r="D10" i="14" l="1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I225" i="14"/>
  <c r="O225" i="14"/>
  <c r="T225" i="14"/>
  <c r="U225" i="14"/>
  <c r="E2" i="8"/>
  <c r="C43" i="13"/>
  <c r="C44" i="13" s="1"/>
  <c r="C17" i="13"/>
  <c r="C18" i="13"/>
  <c r="C20" i="13"/>
  <c r="C21" i="13"/>
  <c r="C22" i="13"/>
  <c r="C23" i="13"/>
  <c r="C16" i="13"/>
  <c r="B16" i="13"/>
  <c r="B17" i="13"/>
  <c r="B18" i="13"/>
  <c r="B20" i="13"/>
  <c r="B21" i="13"/>
  <c r="B22" i="13"/>
  <c r="B23" i="13"/>
  <c r="B5" i="13"/>
  <c r="B17" i="6"/>
  <c r="B18" i="6"/>
  <c r="B20" i="6"/>
  <c r="B21" i="6"/>
  <c r="B22" i="6"/>
  <c r="B23" i="6"/>
  <c r="B16" i="6"/>
  <c r="C6" i="13"/>
  <c r="C7" i="13"/>
  <c r="C8" i="13"/>
  <c r="C9" i="13"/>
  <c r="C10" i="13"/>
  <c r="C11" i="13"/>
  <c r="C12" i="13"/>
  <c r="C13" i="13"/>
  <c r="B6" i="13"/>
  <c r="B7" i="13"/>
  <c r="B8" i="13"/>
  <c r="B9" i="13"/>
  <c r="B10" i="13"/>
  <c r="B11" i="13"/>
  <c r="B12" i="13"/>
  <c r="B13" i="13"/>
  <c r="B7" i="6"/>
  <c r="B33" i="13"/>
  <c r="D35" i="13"/>
  <c r="S30" i="4" l="1"/>
  <c r="S32" i="4"/>
  <c r="C17" i="1" s="1"/>
  <c r="D7" i="14"/>
  <c r="D8" i="14"/>
  <c r="D9" i="14"/>
  <c r="D6" i="14"/>
  <c r="C45" i="13"/>
  <c r="B43" i="13"/>
  <c r="B45" i="13" s="1"/>
  <c r="B14" i="13"/>
  <c r="I225" i="10"/>
  <c r="F5" i="12"/>
  <c r="I5" i="12" s="1"/>
  <c r="F6" i="12"/>
  <c r="F7" i="12"/>
  <c r="F8" i="12"/>
  <c r="F9" i="12"/>
  <c r="F10" i="12"/>
  <c r="F11" i="12"/>
  <c r="I11" i="12" s="1"/>
  <c r="F12" i="12"/>
  <c r="I12" i="12" s="1"/>
  <c r="F13" i="12"/>
  <c r="I13" i="12" s="1"/>
  <c r="K12" i="14" s="1"/>
  <c r="F14" i="12"/>
  <c r="I14" i="12" s="1"/>
  <c r="F15" i="12"/>
  <c r="I15" i="12" s="1"/>
  <c r="F16" i="12"/>
  <c r="I16" i="12" s="1"/>
  <c r="F17" i="12"/>
  <c r="I17" i="12" s="1"/>
  <c r="D18" i="12"/>
  <c r="F18" i="12"/>
  <c r="I18" i="12" s="1"/>
  <c r="F19" i="12"/>
  <c r="I19" i="12" s="1"/>
  <c r="D20" i="12"/>
  <c r="F20" i="12"/>
  <c r="I20" i="12" s="1"/>
  <c r="F21" i="12"/>
  <c r="I21" i="12" s="1"/>
  <c r="F22" i="12"/>
  <c r="I22" i="12" s="1"/>
  <c r="F23" i="12"/>
  <c r="I23" i="12" s="1"/>
  <c r="F24" i="12"/>
  <c r="I24" i="12" s="1"/>
  <c r="F25" i="12"/>
  <c r="I25" i="12" s="1"/>
  <c r="F26" i="12"/>
  <c r="I26" i="12" s="1"/>
  <c r="D27" i="12"/>
  <c r="F27" i="12"/>
  <c r="I27" i="12" s="1"/>
  <c r="F28" i="12"/>
  <c r="I28" i="12" s="1"/>
  <c r="F29" i="12"/>
  <c r="I29" i="12" s="1"/>
  <c r="F30" i="12"/>
  <c r="I30" i="12" s="1"/>
  <c r="D31" i="12"/>
  <c r="F31" i="12"/>
  <c r="I31" i="12" s="1"/>
  <c r="F32" i="12"/>
  <c r="I32" i="12" s="1"/>
  <c r="F33" i="12"/>
  <c r="I33" i="12" s="1"/>
  <c r="F34" i="12"/>
  <c r="I34" i="12" s="1"/>
  <c r="F35" i="12"/>
  <c r="I35" i="12" s="1"/>
  <c r="D36" i="12"/>
  <c r="F36" i="12"/>
  <c r="I36" i="12" s="1"/>
  <c r="F37" i="12"/>
  <c r="I37" i="12" s="1"/>
  <c r="D38" i="12"/>
  <c r="F38" i="12"/>
  <c r="I38" i="12" s="1"/>
  <c r="F39" i="12"/>
  <c r="I39" i="12" s="1"/>
  <c r="D40" i="12"/>
  <c r="F40" i="12"/>
  <c r="I40" i="12" s="1"/>
  <c r="F41" i="12"/>
  <c r="I41" i="12" s="1"/>
  <c r="F42" i="12"/>
  <c r="I42" i="12" s="1"/>
  <c r="D43" i="12"/>
  <c r="F43" i="12"/>
  <c r="I43" i="12" s="1"/>
  <c r="F44" i="12"/>
  <c r="I44" i="12" s="1"/>
  <c r="F45" i="12"/>
  <c r="I45" i="12" s="1"/>
  <c r="F46" i="12"/>
  <c r="I46" i="12" s="1"/>
  <c r="F47" i="12"/>
  <c r="I47" i="12" s="1"/>
  <c r="F48" i="12"/>
  <c r="I48" i="12" s="1"/>
  <c r="F49" i="12"/>
  <c r="I49" i="12" s="1"/>
  <c r="F50" i="12"/>
  <c r="I50" i="12" s="1"/>
  <c r="F51" i="12"/>
  <c r="I51" i="12" s="1"/>
  <c r="F52" i="12"/>
  <c r="I52" i="12" s="1"/>
  <c r="F53" i="12"/>
  <c r="I53" i="12" s="1"/>
  <c r="F54" i="12"/>
  <c r="I54" i="12" s="1"/>
  <c r="F55" i="12"/>
  <c r="I55" i="12" s="1"/>
  <c r="D56" i="12"/>
  <c r="F56" i="12"/>
  <c r="I56" i="12" s="1"/>
  <c r="F57" i="12"/>
  <c r="I57" i="12" s="1"/>
  <c r="F58" i="12"/>
  <c r="I58" i="12" s="1"/>
  <c r="F59" i="12"/>
  <c r="I59" i="12" s="1"/>
  <c r="F60" i="12"/>
  <c r="I60" i="12" s="1"/>
  <c r="D61" i="12"/>
  <c r="F61" i="12"/>
  <c r="I61" i="12" s="1"/>
  <c r="F62" i="12"/>
  <c r="I62" i="12" s="1"/>
  <c r="D63" i="12"/>
  <c r="F63" i="12"/>
  <c r="I63" i="12" s="1"/>
  <c r="F64" i="12"/>
  <c r="I64" i="12" s="1"/>
  <c r="D65" i="12"/>
  <c r="F65" i="12"/>
  <c r="I65" i="12" s="1"/>
  <c r="F66" i="12"/>
  <c r="I66" i="12" s="1"/>
  <c r="F67" i="12"/>
  <c r="I67" i="12" s="1"/>
  <c r="D68" i="12"/>
  <c r="F68" i="12"/>
  <c r="I68" i="12" s="1"/>
  <c r="F69" i="12"/>
  <c r="I69" i="12" s="1"/>
  <c r="F70" i="12"/>
  <c r="I70" i="12" s="1"/>
  <c r="F71" i="12"/>
  <c r="I71" i="12" s="1"/>
  <c r="D72" i="12"/>
  <c r="F72" i="12"/>
  <c r="I72" i="12" s="1"/>
  <c r="F73" i="12"/>
  <c r="I73" i="12" s="1"/>
  <c r="D74" i="12"/>
  <c r="F74" i="12"/>
  <c r="I74" i="12" s="1"/>
  <c r="F75" i="12"/>
  <c r="I75" i="12" s="1"/>
  <c r="D76" i="12"/>
  <c r="F76" i="12"/>
  <c r="I76" i="12" s="1"/>
  <c r="F77" i="12"/>
  <c r="I77" i="12" s="1"/>
  <c r="F78" i="12"/>
  <c r="I78" i="12" s="1"/>
  <c r="F79" i="12"/>
  <c r="I79" i="12" s="1"/>
  <c r="F80" i="12"/>
  <c r="I80" i="12" s="1"/>
  <c r="F81" i="12"/>
  <c r="I81" i="12" s="1"/>
  <c r="F82" i="12"/>
  <c r="I82" i="12" s="1"/>
  <c r="F83" i="12"/>
  <c r="I83" i="12" s="1"/>
  <c r="D84" i="12"/>
  <c r="F84" i="12"/>
  <c r="I84" i="12" s="1"/>
  <c r="F85" i="12"/>
  <c r="I85" i="12" s="1"/>
  <c r="F86" i="12"/>
  <c r="I86" i="12" s="1"/>
  <c r="F87" i="12"/>
  <c r="I87" i="12" s="1"/>
  <c r="D88" i="12"/>
  <c r="F88" i="12"/>
  <c r="I88" i="12" s="1"/>
  <c r="F89" i="12"/>
  <c r="I89" i="12" s="1"/>
  <c r="D90" i="12"/>
  <c r="F90" i="12"/>
  <c r="I90" i="12" s="1"/>
  <c r="F91" i="12"/>
  <c r="I91" i="12" s="1"/>
  <c r="F92" i="12"/>
  <c r="I92" i="12" s="1"/>
  <c r="F93" i="12"/>
  <c r="I93" i="12" s="1"/>
  <c r="D94" i="12"/>
  <c r="F94" i="12"/>
  <c r="I94" i="12" s="1"/>
  <c r="F95" i="12"/>
  <c r="I95" i="12" s="1"/>
  <c r="D96" i="12"/>
  <c r="F96" i="12"/>
  <c r="I96" i="12" s="1"/>
  <c r="D97" i="12"/>
  <c r="F97" i="12"/>
  <c r="I97" i="12" s="1"/>
  <c r="D98" i="12"/>
  <c r="F98" i="12"/>
  <c r="I98" i="12" s="1"/>
  <c r="D99" i="12"/>
  <c r="F99" i="12"/>
  <c r="I99" i="12" s="1"/>
  <c r="F100" i="12"/>
  <c r="I100" i="12" s="1"/>
  <c r="F101" i="12"/>
  <c r="I101" i="12" s="1"/>
  <c r="F102" i="12"/>
  <c r="I102" i="12" s="1"/>
  <c r="F103" i="12"/>
  <c r="I103" i="12" s="1"/>
  <c r="F104" i="12"/>
  <c r="I104" i="12" s="1"/>
  <c r="F105" i="12"/>
  <c r="I105" i="12" s="1"/>
  <c r="F106" i="12"/>
  <c r="I106" i="12" s="1"/>
  <c r="F107" i="12"/>
  <c r="I107" i="12" s="1"/>
  <c r="D108" i="12"/>
  <c r="F108" i="12"/>
  <c r="I108" i="12" s="1"/>
  <c r="F109" i="12"/>
  <c r="I109" i="12" s="1"/>
  <c r="D110" i="12"/>
  <c r="F110" i="12"/>
  <c r="I110" i="12" s="1"/>
  <c r="D111" i="12"/>
  <c r="F111" i="12"/>
  <c r="I111" i="12" s="1"/>
  <c r="D112" i="12"/>
  <c r="F112" i="12"/>
  <c r="I112" i="12" s="1"/>
  <c r="F113" i="12"/>
  <c r="I113" i="12" s="1"/>
  <c r="D114" i="12"/>
  <c r="F114" i="12"/>
  <c r="I114" i="12" s="1"/>
  <c r="D115" i="12"/>
  <c r="F115" i="12"/>
  <c r="I115" i="12" s="1"/>
  <c r="F116" i="12"/>
  <c r="I116" i="12" s="1"/>
  <c r="F117" i="12"/>
  <c r="I117" i="12" s="1"/>
  <c r="F118" i="12"/>
  <c r="I118" i="12" s="1"/>
  <c r="F119" i="12"/>
  <c r="I119" i="12" s="1"/>
  <c r="F120" i="12"/>
  <c r="I120" i="12" s="1"/>
  <c r="D121" i="12"/>
  <c r="F121" i="12"/>
  <c r="I121" i="12" s="1"/>
  <c r="F122" i="12"/>
  <c r="I122" i="12" s="1"/>
  <c r="F123" i="12"/>
  <c r="I123" i="12" s="1"/>
  <c r="D124" i="12"/>
  <c r="F124" i="12"/>
  <c r="I124" i="12" s="1"/>
  <c r="F125" i="12"/>
  <c r="I125" i="12" s="1"/>
  <c r="F126" i="12"/>
  <c r="I126" i="12" s="1"/>
  <c r="F127" i="12"/>
  <c r="I127" i="12" s="1"/>
  <c r="D128" i="12"/>
  <c r="F128" i="12"/>
  <c r="I128" i="12" s="1"/>
  <c r="F129" i="12"/>
  <c r="I129" i="12" s="1"/>
  <c r="F130" i="12"/>
  <c r="I130" i="12" s="1"/>
  <c r="D131" i="12"/>
  <c r="F131" i="12"/>
  <c r="I131" i="12" s="1"/>
  <c r="F132" i="12"/>
  <c r="I132" i="12" s="1"/>
  <c r="D133" i="12"/>
  <c r="F133" i="12"/>
  <c r="I133" i="12" s="1"/>
  <c r="D134" i="12"/>
  <c r="F134" i="12"/>
  <c r="I134" i="12" s="1"/>
  <c r="D135" i="12"/>
  <c r="F135" i="12"/>
  <c r="I135" i="12" s="1"/>
  <c r="F136" i="12"/>
  <c r="I136" i="12" s="1"/>
  <c r="D137" i="12"/>
  <c r="F137" i="12"/>
  <c r="I137" i="12" s="1"/>
  <c r="D138" i="12"/>
  <c r="F138" i="12"/>
  <c r="I138" i="12" s="1"/>
  <c r="F139" i="12"/>
  <c r="I139" i="12" s="1"/>
  <c r="D140" i="12"/>
  <c r="F140" i="12"/>
  <c r="I140" i="12" s="1"/>
  <c r="F141" i="12"/>
  <c r="I141" i="12" s="1"/>
  <c r="F142" i="12"/>
  <c r="I142" i="12" s="1"/>
  <c r="F143" i="12"/>
  <c r="I143" i="12" s="1"/>
  <c r="D144" i="12"/>
  <c r="F144" i="12"/>
  <c r="I144" i="12" s="1"/>
  <c r="F145" i="12"/>
  <c r="I145" i="12" s="1"/>
  <c r="F146" i="12"/>
  <c r="I146" i="12" s="1"/>
  <c r="F147" i="12"/>
  <c r="I147" i="12" s="1"/>
  <c r="D148" i="12"/>
  <c r="F148" i="12"/>
  <c r="I148" i="12" s="1"/>
  <c r="F149" i="12"/>
  <c r="I149" i="12" s="1"/>
  <c r="F150" i="12"/>
  <c r="I150" i="12" s="1"/>
  <c r="F151" i="12"/>
  <c r="I151" i="12" s="1"/>
  <c r="D152" i="12"/>
  <c r="F152" i="12"/>
  <c r="I152" i="12" s="1"/>
  <c r="F153" i="12"/>
  <c r="I153" i="12" s="1"/>
  <c r="F154" i="12"/>
  <c r="I154" i="12" s="1"/>
  <c r="F155" i="12"/>
  <c r="I155" i="12" s="1"/>
  <c r="D156" i="12"/>
  <c r="F156" i="12"/>
  <c r="I156" i="12" s="1"/>
  <c r="F157" i="12"/>
  <c r="I157" i="12" s="1"/>
  <c r="D158" i="12"/>
  <c r="F158" i="12"/>
  <c r="I158" i="12" s="1"/>
  <c r="F159" i="12"/>
  <c r="I159" i="12" s="1"/>
  <c r="F160" i="12"/>
  <c r="I160" i="12" s="1"/>
  <c r="F161" i="12"/>
  <c r="I161" i="12" s="1"/>
  <c r="D162" i="12"/>
  <c r="F162" i="12"/>
  <c r="I162" i="12" s="1"/>
  <c r="F163" i="12"/>
  <c r="I163" i="12" s="1"/>
  <c r="D164" i="12"/>
  <c r="F164" i="12"/>
  <c r="I164" i="12" s="1"/>
  <c r="F165" i="12"/>
  <c r="I165" i="12" s="1"/>
  <c r="F166" i="12"/>
  <c r="I166" i="12" s="1"/>
  <c r="F167" i="12"/>
  <c r="I167" i="12" s="1"/>
  <c r="D168" i="12"/>
  <c r="F168" i="12"/>
  <c r="I168" i="12" s="1"/>
  <c r="F169" i="12"/>
  <c r="I169" i="12" s="1"/>
  <c r="F170" i="12"/>
  <c r="I170" i="12" s="1"/>
  <c r="D171" i="12"/>
  <c r="F171" i="12"/>
  <c r="I171" i="12" s="1"/>
  <c r="F172" i="12"/>
  <c r="I172" i="12" s="1"/>
  <c r="D173" i="12"/>
  <c r="F173" i="12"/>
  <c r="I173" i="12" s="1"/>
  <c r="D174" i="12"/>
  <c r="F174" i="12"/>
  <c r="I174" i="12" s="1"/>
  <c r="F175" i="12"/>
  <c r="I175" i="12" s="1"/>
  <c r="D176" i="12"/>
  <c r="F176" i="12"/>
  <c r="I176" i="12" s="1"/>
  <c r="F177" i="12"/>
  <c r="I177" i="12" s="1"/>
  <c r="F178" i="12"/>
  <c r="I178" i="12" s="1"/>
  <c r="F179" i="12"/>
  <c r="I179" i="12" s="1"/>
  <c r="F180" i="12"/>
  <c r="I180" i="12" s="1"/>
  <c r="D181" i="12"/>
  <c r="F181" i="12"/>
  <c r="I181" i="12" s="1"/>
  <c r="F182" i="12"/>
  <c r="I182" i="12" s="1"/>
  <c r="F183" i="12"/>
  <c r="I183" i="12" s="1"/>
  <c r="F184" i="12"/>
  <c r="I184" i="12" s="1"/>
  <c r="D185" i="12"/>
  <c r="F185" i="12"/>
  <c r="I185" i="12" s="1"/>
  <c r="F186" i="12"/>
  <c r="I186" i="12" s="1"/>
  <c r="F187" i="12"/>
  <c r="I187" i="12" s="1"/>
  <c r="F188" i="12"/>
  <c r="I188" i="12" s="1"/>
  <c r="F189" i="12"/>
  <c r="I189" i="12" s="1"/>
  <c r="D190" i="12"/>
  <c r="F190" i="12"/>
  <c r="I190" i="12" s="1"/>
  <c r="F191" i="12"/>
  <c r="I191" i="12" s="1"/>
  <c r="F192" i="12"/>
  <c r="I192" i="12" s="1"/>
  <c r="F193" i="12"/>
  <c r="I193" i="12" s="1"/>
  <c r="F194" i="12"/>
  <c r="I194" i="12" s="1"/>
  <c r="F195" i="12"/>
  <c r="I195" i="12" s="1"/>
  <c r="F196" i="12"/>
  <c r="I196" i="12" s="1"/>
  <c r="F197" i="12"/>
  <c r="I197" i="12" s="1"/>
  <c r="D198" i="12"/>
  <c r="F198" i="12"/>
  <c r="I198" i="12" s="1"/>
  <c r="F199" i="12"/>
  <c r="I199" i="12" s="1"/>
  <c r="F200" i="12"/>
  <c r="I200" i="12" s="1"/>
  <c r="F201" i="12"/>
  <c r="I201" i="12" s="1"/>
  <c r="D202" i="12"/>
  <c r="F202" i="12"/>
  <c r="I202" i="12" s="1"/>
  <c r="F203" i="12"/>
  <c r="I203" i="12" s="1"/>
  <c r="F204" i="12"/>
  <c r="I204" i="12" s="1"/>
  <c r="F205" i="12"/>
  <c r="I205" i="12" s="1"/>
  <c r="F206" i="12"/>
  <c r="I206" i="12" s="1"/>
  <c r="F207" i="12"/>
  <c r="I207" i="12" s="1"/>
  <c r="F208" i="12"/>
  <c r="I208" i="12" s="1"/>
  <c r="D209" i="12"/>
  <c r="F209" i="12"/>
  <c r="I209" i="12" s="1"/>
  <c r="F210" i="12"/>
  <c r="I210" i="12" s="1"/>
  <c r="F211" i="12"/>
  <c r="I211" i="12" s="1"/>
  <c r="F212" i="12"/>
  <c r="I212" i="12" s="1"/>
  <c r="F213" i="12"/>
  <c r="I213" i="12" s="1"/>
  <c r="F214" i="12"/>
  <c r="I214" i="12" s="1"/>
  <c r="D215" i="12"/>
  <c r="F215" i="12"/>
  <c r="I215" i="12" s="1"/>
  <c r="F216" i="12"/>
  <c r="I216" i="12" s="1"/>
  <c r="F217" i="12"/>
  <c r="I217" i="12" s="1"/>
  <c r="D218" i="12"/>
  <c r="F218" i="12"/>
  <c r="I218" i="12" s="1"/>
  <c r="F219" i="12"/>
  <c r="I219" i="12" s="1"/>
  <c r="F220" i="12"/>
  <c r="I220" i="12" s="1"/>
  <c r="F221" i="12"/>
  <c r="I221" i="12" s="1"/>
  <c r="D222" i="12"/>
  <c r="F222" i="12"/>
  <c r="I222" i="12" s="1"/>
  <c r="F223" i="12"/>
  <c r="I223" i="12" s="1"/>
  <c r="F224" i="12"/>
  <c r="I224" i="12" s="1"/>
  <c r="E225" i="12"/>
  <c r="B9" i="6"/>
  <c r="B6" i="6"/>
  <c r="B10" i="6"/>
  <c r="B11" i="6"/>
  <c r="B12" i="6"/>
  <c r="B13" i="6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S225" i="10"/>
  <c r="O225" i="10"/>
  <c r="D200" i="10"/>
  <c r="D163" i="10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C11" i="1" s="1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5" i="6"/>
  <c r="K5" i="10" l="1"/>
  <c r="K63" i="10"/>
  <c r="K38" i="10"/>
  <c r="K110" i="10"/>
  <c r="K179" i="10"/>
  <c r="K173" i="10"/>
  <c r="K56" i="10"/>
  <c r="K127" i="10"/>
  <c r="K25" i="10"/>
  <c r="K32" i="10"/>
  <c r="K79" i="10"/>
  <c r="K120" i="10"/>
  <c r="K125" i="10"/>
  <c r="K53" i="10"/>
  <c r="K211" i="10"/>
  <c r="K64" i="10"/>
  <c r="K155" i="10"/>
  <c r="K31" i="10"/>
  <c r="K100" i="10"/>
  <c r="K123" i="10"/>
  <c r="K113" i="10"/>
  <c r="K33" i="10"/>
  <c r="K89" i="10"/>
  <c r="K201" i="10"/>
  <c r="K122" i="10"/>
  <c r="K160" i="10"/>
  <c r="K39" i="10"/>
  <c r="K167" i="10"/>
  <c r="K139" i="10"/>
  <c r="K199" i="10"/>
  <c r="K29" i="10"/>
  <c r="K193" i="10"/>
  <c r="K124" i="10"/>
  <c r="K190" i="10"/>
  <c r="K109" i="10"/>
  <c r="K46" i="10"/>
  <c r="K188" i="10"/>
  <c r="K215" i="10"/>
  <c r="K135" i="10"/>
  <c r="K48" i="10"/>
  <c r="K189" i="10"/>
  <c r="K223" i="10"/>
  <c r="K150" i="10"/>
  <c r="K217" i="10"/>
  <c r="K97" i="10"/>
  <c r="K26" i="10"/>
  <c r="K202" i="10"/>
  <c r="K103" i="10"/>
  <c r="K85" i="10"/>
  <c r="K177" i="10"/>
  <c r="K93" i="10"/>
  <c r="K168" i="10"/>
  <c r="K72" i="10"/>
  <c r="K27" i="10"/>
  <c r="K36" i="10"/>
  <c r="K186" i="10"/>
  <c r="K77" i="10"/>
  <c r="K172" i="10"/>
  <c r="K207" i="10"/>
  <c r="K141" i="10"/>
  <c r="K47" i="10"/>
  <c r="K91" i="10"/>
  <c r="K157" i="10"/>
  <c r="K112" i="10"/>
  <c r="K55" i="10"/>
  <c r="K174" i="10"/>
  <c r="K164" i="10"/>
  <c r="K130" i="10"/>
  <c r="K81" i="10"/>
  <c r="K132" i="10"/>
  <c r="K213" i="10"/>
  <c r="K57" i="10"/>
  <c r="K60" i="10"/>
  <c r="K128" i="10"/>
  <c r="K58" i="10"/>
  <c r="K76" i="10"/>
  <c r="K147" i="10"/>
  <c r="K52" i="10"/>
  <c r="K108" i="10"/>
  <c r="K42" i="10"/>
  <c r="K45" i="10"/>
  <c r="K28" i="10"/>
  <c r="K145" i="10"/>
  <c r="K212" i="10"/>
  <c r="K163" i="10"/>
  <c r="K126" i="10"/>
  <c r="K169" i="10"/>
  <c r="K12" i="10"/>
  <c r="K102" i="10"/>
  <c r="K158" i="10"/>
  <c r="K20" i="10"/>
  <c r="K43" i="10"/>
  <c r="K152" i="10"/>
  <c r="K106" i="10"/>
  <c r="K69" i="10"/>
  <c r="K50" i="10"/>
  <c r="K86" i="10"/>
  <c r="K104" i="10"/>
  <c r="K178" i="10"/>
  <c r="K74" i="10"/>
  <c r="K136" i="10"/>
  <c r="K111" i="10"/>
  <c r="K67" i="10"/>
  <c r="K143" i="10"/>
  <c r="K51" i="10"/>
  <c r="K175" i="10"/>
  <c r="K49" i="10"/>
  <c r="K88" i="10"/>
  <c r="K195" i="10"/>
  <c r="K220" i="10"/>
  <c r="K140" i="10"/>
  <c r="K99" i="10"/>
  <c r="K196" i="10"/>
  <c r="K95" i="10"/>
  <c r="K15" i="10"/>
  <c r="K92" i="10"/>
  <c r="K185" i="10"/>
  <c r="K62" i="10"/>
  <c r="K71" i="10"/>
  <c r="K37" i="10"/>
  <c r="K114" i="10"/>
  <c r="K162" i="10"/>
  <c r="K156" i="10"/>
  <c r="K214" i="10"/>
  <c r="K13" i="10"/>
  <c r="K11" i="10"/>
  <c r="K183" i="10"/>
  <c r="K75" i="10"/>
  <c r="K16" i="10"/>
  <c r="K218" i="10"/>
  <c r="K107" i="10"/>
  <c r="K41" i="10"/>
  <c r="K115" i="10"/>
  <c r="K68" i="10"/>
  <c r="K118" i="10"/>
  <c r="K87" i="10"/>
  <c r="K181" i="10"/>
  <c r="K70" i="10"/>
  <c r="K197" i="10"/>
  <c r="K19" i="10"/>
  <c r="K30" i="10"/>
  <c r="K192" i="10"/>
  <c r="K101" i="10"/>
  <c r="K24" i="10"/>
  <c r="K151" i="10"/>
  <c r="K14" i="10"/>
  <c r="K153" i="10"/>
  <c r="K205" i="10"/>
  <c r="K138" i="10"/>
  <c r="K133" i="10"/>
  <c r="K161" i="10"/>
  <c r="K216" i="10"/>
  <c r="K131" i="10"/>
  <c r="K137" i="10"/>
  <c r="K61" i="10"/>
  <c r="K90" i="10"/>
  <c r="K165" i="10"/>
  <c r="K222" i="10"/>
  <c r="K170" i="10"/>
  <c r="K144" i="10"/>
  <c r="K198" i="10"/>
  <c r="K22" i="10"/>
  <c r="K21" i="10"/>
  <c r="K78" i="10"/>
  <c r="K96" i="10"/>
  <c r="K210" i="10"/>
  <c r="K54" i="10"/>
  <c r="K184" i="10"/>
  <c r="K219" i="10"/>
  <c r="K166" i="10"/>
  <c r="K34" i="10"/>
  <c r="K18" i="10"/>
  <c r="K146" i="10"/>
  <c r="K191" i="10"/>
  <c r="K59" i="10"/>
  <c r="K224" i="10"/>
  <c r="K83" i="10"/>
  <c r="K159" i="10"/>
  <c r="K35" i="10"/>
  <c r="K17" i="10"/>
  <c r="K94" i="10"/>
  <c r="K117" i="10"/>
  <c r="K171" i="10"/>
  <c r="K44" i="10"/>
  <c r="K206" i="10"/>
  <c r="K221" i="10"/>
  <c r="K209" i="10"/>
  <c r="K80" i="10"/>
  <c r="K187" i="10"/>
  <c r="K121" i="10"/>
  <c r="K129" i="10"/>
  <c r="K73" i="10"/>
  <c r="K149" i="10"/>
  <c r="K154" i="10"/>
  <c r="K204" i="10"/>
  <c r="K180" i="10"/>
  <c r="K84" i="10"/>
  <c r="K194" i="10"/>
  <c r="K182" i="10"/>
  <c r="K82" i="10"/>
  <c r="K66" i="10"/>
  <c r="K98" i="10"/>
  <c r="K40" i="10"/>
  <c r="K116" i="10"/>
  <c r="K65" i="10"/>
  <c r="K134" i="10"/>
  <c r="K148" i="10"/>
  <c r="K142" i="10"/>
  <c r="K200" i="10"/>
  <c r="K23" i="10"/>
  <c r="K176" i="10"/>
  <c r="K105" i="10"/>
  <c r="K203" i="10"/>
  <c r="K208" i="10"/>
  <c r="K119" i="10"/>
  <c r="K5" i="14"/>
  <c r="K11" i="14"/>
  <c r="I6" i="12"/>
  <c r="L173" i="14"/>
  <c r="L112" i="14"/>
  <c r="L99" i="14"/>
  <c r="L70" i="14"/>
  <c r="L114" i="14"/>
  <c r="L148" i="14"/>
  <c r="L163" i="14"/>
  <c r="L150" i="14"/>
  <c r="L128" i="14"/>
  <c r="L96" i="14"/>
  <c r="L40" i="14"/>
  <c r="L27" i="14"/>
  <c r="L215" i="14"/>
  <c r="L217" i="14"/>
  <c r="L115" i="14"/>
  <c r="L209" i="14"/>
  <c r="L140" i="14"/>
  <c r="L134" i="14"/>
  <c r="L86" i="14"/>
  <c r="L20" i="14"/>
  <c r="L111" i="14"/>
  <c r="L161" i="14"/>
  <c r="L179" i="14"/>
  <c r="L192" i="14"/>
  <c r="L137" i="14"/>
  <c r="L131" i="14"/>
  <c r="L76" i="14"/>
  <c r="L43" i="14"/>
  <c r="L222" i="14"/>
  <c r="L202" i="14"/>
  <c r="L121" i="14"/>
  <c r="L89" i="14"/>
  <c r="L63" i="14"/>
  <c r="L98" i="14"/>
  <c r="L176" i="14"/>
  <c r="L195" i="14"/>
  <c r="L185" i="14"/>
  <c r="L172" i="14"/>
  <c r="L156" i="14"/>
  <c r="L124" i="14"/>
  <c r="L29" i="14"/>
  <c r="L22" i="14"/>
  <c r="L39" i="14"/>
  <c r="L221" i="14"/>
  <c r="L65" i="14"/>
  <c r="D5" i="14"/>
  <c r="L127" i="14"/>
  <c r="L82" i="14"/>
  <c r="L36" i="14"/>
  <c r="L218" i="14"/>
  <c r="L198" i="14"/>
  <c r="L191" i="14"/>
  <c r="L162" i="14"/>
  <c r="L139" i="14"/>
  <c r="L72" i="14"/>
  <c r="L181" i="14"/>
  <c r="L152" i="14"/>
  <c r="L142" i="14"/>
  <c r="L133" i="14"/>
  <c r="L224" i="14"/>
  <c r="L168" i="14"/>
  <c r="L88" i="14"/>
  <c r="L174" i="14"/>
  <c r="L171" i="14"/>
  <c r="L158" i="14"/>
  <c r="L68" i="14"/>
  <c r="L97" i="14"/>
  <c r="L18" i="14"/>
  <c r="L31" i="14"/>
  <c r="L108" i="14"/>
  <c r="L56" i="14"/>
  <c r="L110" i="14"/>
  <c r="L94" i="14"/>
  <c r="L58" i="14"/>
  <c r="L41" i="14"/>
  <c r="L38" i="14"/>
  <c r="L220" i="14"/>
  <c r="L190" i="14"/>
  <c r="L164" i="14"/>
  <c r="L138" i="14"/>
  <c r="L135" i="14"/>
  <c r="L119" i="14"/>
  <c r="L84" i="14"/>
  <c r="L74" i="14"/>
  <c r="L44" i="14"/>
  <c r="L203" i="14"/>
  <c r="L167" i="14"/>
  <c r="L154" i="14"/>
  <c r="L64" i="14"/>
  <c r="L61" i="14"/>
  <c r="L170" i="14"/>
  <c r="L144" i="14"/>
  <c r="L90" i="14"/>
  <c r="L67" i="14"/>
  <c r="L54" i="14"/>
  <c r="L47" i="14"/>
  <c r="D207" i="12"/>
  <c r="D194" i="12"/>
  <c r="D178" i="12"/>
  <c r="D60" i="12"/>
  <c r="D103" i="12"/>
  <c r="D53" i="12"/>
  <c r="D208" i="12"/>
  <c r="D145" i="12"/>
  <c r="D136" i="12"/>
  <c r="D130" i="12"/>
  <c r="D73" i="12"/>
  <c r="D211" i="12"/>
  <c r="D117" i="12"/>
  <c r="D95" i="12"/>
  <c r="D51" i="12"/>
  <c r="D32" i="12"/>
  <c r="D223" i="12"/>
  <c r="D220" i="12"/>
  <c r="D217" i="12"/>
  <c r="D214" i="12"/>
  <c r="D191" i="12"/>
  <c r="D188" i="12"/>
  <c r="D175" i="12"/>
  <c r="D172" i="12"/>
  <c r="D163" i="12"/>
  <c r="D157" i="12"/>
  <c r="D123" i="12"/>
  <c r="D104" i="12"/>
  <c r="D82" i="12"/>
  <c r="D57" i="12"/>
  <c r="D47" i="12"/>
  <c r="D35" i="12"/>
  <c r="D25" i="12"/>
  <c r="D15" i="12"/>
  <c r="D11" i="12"/>
  <c r="D210" i="12"/>
  <c r="D197" i="12"/>
  <c r="D132" i="12"/>
  <c r="D116" i="12"/>
  <c r="D113" i="12"/>
  <c r="D107" i="12"/>
  <c r="D100" i="12"/>
  <c r="D75" i="12"/>
  <c r="D50" i="12"/>
  <c r="D28" i="12"/>
  <c r="D203" i="12"/>
  <c r="D200" i="12"/>
  <c r="D184" i="12"/>
  <c r="D150" i="12"/>
  <c r="D147" i="12"/>
  <c r="D119" i="12"/>
  <c r="D78" i="12"/>
  <c r="D14" i="12"/>
  <c r="D62" i="12"/>
  <c r="D49" i="12"/>
  <c r="D52" i="12"/>
  <c r="D33" i="12"/>
  <c r="D17" i="12"/>
  <c r="D13" i="12"/>
  <c r="D169" i="12"/>
  <c r="D166" i="12"/>
  <c r="D91" i="12"/>
  <c r="D213" i="12"/>
  <c r="D219" i="12"/>
  <c r="D216" i="12"/>
  <c r="D206" i="12"/>
  <c r="D193" i="12"/>
  <c r="D177" i="12"/>
  <c r="D59" i="12"/>
  <c r="D180" i="12"/>
  <c r="D143" i="12"/>
  <c r="D71" i="12"/>
  <c r="D93" i="12"/>
  <c r="D77" i="12"/>
  <c r="D212" i="12"/>
  <c r="D118" i="12"/>
  <c r="D224" i="12"/>
  <c r="D221" i="12"/>
  <c r="D205" i="12"/>
  <c r="D192" i="12"/>
  <c r="D155" i="12"/>
  <c r="D80" i="12"/>
  <c r="D58" i="12"/>
  <c r="D55" i="12"/>
  <c r="D45" i="12"/>
  <c r="D42" i="12"/>
  <c r="D39" i="12"/>
  <c r="D23" i="12"/>
  <c r="D160" i="12"/>
  <c r="D141" i="12"/>
  <c r="D129" i="12"/>
  <c r="D126" i="12"/>
  <c r="D85" i="12"/>
  <c r="D69" i="12"/>
  <c r="D66" i="12"/>
  <c r="D122" i="12"/>
  <c r="D34" i="12"/>
  <c r="D21" i="12"/>
  <c r="D165" i="12"/>
  <c r="D159" i="12"/>
  <c r="D125" i="12"/>
  <c r="D81" i="12"/>
  <c r="D37" i="12"/>
  <c r="D24" i="12"/>
  <c r="D196" i="12"/>
  <c r="D106" i="12"/>
  <c r="D87" i="12"/>
  <c r="D199" i="12"/>
  <c r="D183" i="12"/>
  <c r="D146" i="12"/>
  <c r="D109" i="12"/>
  <c r="D30" i="12"/>
  <c r="D186" i="12"/>
  <c r="D149" i="12"/>
  <c r="D102" i="12"/>
  <c r="D195" i="12"/>
  <c r="D189" i="12"/>
  <c r="D179" i="12"/>
  <c r="D170" i="12"/>
  <c r="D167" i="12"/>
  <c r="D161" i="12"/>
  <c r="D142" i="12"/>
  <c r="D139" i="12"/>
  <c r="D127" i="12"/>
  <c r="D105" i="12"/>
  <c r="D89" i="12"/>
  <c r="D86" i="12"/>
  <c r="D83" i="12"/>
  <c r="D70" i="12"/>
  <c r="D67" i="12"/>
  <c r="D64" i="12"/>
  <c r="D48" i="12"/>
  <c r="D29" i="12"/>
  <c r="D26" i="12"/>
  <c r="D16" i="12"/>
  <c r="D12" i="12"/>
  <c r="D187" i="12"/>
  <c r="D153" i="12"/>
  <c r="D46" i="12"/>
  <c r="D182" i="12"/>
  <c r="D92" i="12"/>
  <c r="D101" i="12"/>
  <c r="D204" i="12"/>
  <c r="D201" i="12"/>
  <c r="D154" i="12"/>
  <c r="D151" i="12"/>
  <c r="D120" i="12"/>
  <c r="D79" i="12"/>
  <c r="D54" i="12"/>
  <c r="D44" i="12"/>
  <c r="D41" i="12"/>
  <c r="D22" i="12"/>
  <c r="D19" i="12"/>
  <c r="C19" i="13"/>
  <c r="C25" i="13" s="1"/>
  <c r="B19" i="6"/>
  <c r="B19" i="13"/>
  <c r="B8" i="6"/>
  <c r="B44" i="13"/>
  <c r="D6" i="12"/>
  <c r="D8" i="10"/>
  <c r="F225" i="12"/>
  <c r="K6" i="14" l="1"/>
  <c r="K6" i="10"/>
  <c r="M7" i="10"/>
  <c r="M13" i="10"/>
  <c r="M10" i="14"/>
  <c r="N10" i="14" s="1"/>
  <c r="M129" i="14"/>
  <c r="N129" i="14" s="1"/>
  <c r="L120" i="14"/>
  <c r="L120" i="10"/>
  <c r="L93" i="10"/>
  <c r="L93" i="14"/>
  <c r="L206" i="10"/>
  <c r="L206" i="14"/>
  <c r="L75" i="14"/>
  <c r="L75" i="10"/>
  <c r="L210" i="10"/>
  <c r="L210" i="14"/>
  <c r="L73" i="14"/>
  <c r="L60" i="14"/>
  <c r="L60" i="10"/>
  <c r="L46" i="14"/>
  <c r="L146" i="14"/>
  <c r="L146" i="10"/>
  <c r="L37" i="10"/>
  <c r="L37" i="14"/>
  <c r="L122" i="14"/>
  <c r="L122" i="10"/>
  <c r="L160" i="10"/>
  <c r="L160" i="14"/>
  <c r="L155" i="14"/>
  <c r="L123" i="14"/>
  <c r="L123" i="10"/>
  <c r="M189" i="14"/>
  <c r="N189" i="14" s="1"/>
  <c r="L151" i="10"/>
  <c r="L151" i="14"/>
  <c r="L189" i="14"/>
  <c r="L189" i="10"/>
  <c r="L71" i="14"/>
  <c r="L71" i="10"/>
  <c r="L216" i="14"/>
  <c r="L216" i="10"/>
  <c r="L17" i="14"/>
  <c r="L17" i="10"/>
  <c r="L147" i="14"/>
  <c r="L147" i="10"/>
  <c r="L100" i="14"/>
  <c r="L223" i="14"/>
  <c r="L223" i="10"/>
  <c r="L130" i="14"/>
  <c r="L130" i="10"/>
  <c r="L178" i="14"/>
  <c r="L178" i="10"/>
  <c r="L153" i="14"/>
  <c r="L153" i="10"/>
  <c r="L83" i="14"/>
  <c r="L83" i="10"/>
  <c r="L183" i="14"/>
  <c r="L183" i="10"/>
  <c r="L81" i="14"/>
  <c r="L81" i="10"/>
  <c r="L66" i="14"/>
  <c r="L66" i="10"/>
  <c r="L23" i="14"/>
  <c r="L23" i="10"/>
  <c r="L157" i="14"/>
  <c r="L157" i="10"/>
  <c r="L205" i="10"/>
  <c r="L205" i="14"/>
  <c r="L143" i="14"/>
  <c r="L219" i="14"/>
  <c r="L219" i="10"/>
  <c r="L33" i="14"/>
  <c r="L33" i="10"/>
  <c r="L107" i="10"/>
  <c r="L107" i="14"/>
  <c r="L32" i="14"/>
  <c r="L32" i="10"/>
  <c r="L136" i="14"/>
  <c r="L136" i="10"/>
  <c r="L194" i="10"/>
  <c r="L194" i="14"/>
  <c r="L201" i="10"/>
  <c r="L201" i="14"/>
  <c r="L187" i="10"/>
  <c r="L187" i="14"/>
  <c r="L102" i="14"/>
  <c r="L102" i="10"/>
  <c r="L199" i="14"/>
  <c r="L199" i="10"/>
  <c r="L125" i="14"/>
  <c r="L125" i="10"/>
  <c r="L69" i="10"/>
  <c r="L69" i="14"/>
  <c r="L184" i="10"/>
  <c r="L184" i="14"/>
  <c r="L25" i="14"/>
  <c r="L25" i="10"/>
  <c r="M64" i="14"/>
  <c r="N64" i="14" s="1"/>
  <c r="L19" i="14"/>
  <c r="L19" i="10"/>
  <c r="L42" i="10"/>
  <c r="L42" i="14"/>
  <c r="L180" i="10"/>
  <c r="L180" i="14"/>
  <c r="L213" i="10"/>
  <c r="L213" i="14"/>
  <c r="L52" i="14"/>
  <c r="L52" i="10"/>
  <c r="L113" i="14"/>
  <c r="L113" i="10"/>
  <c r="L51" i="14"/>
  <c r="L145" i="10"/>
  <c r="L145" i="14"/>
  <c r="L207" i="14"/>
  <c r="L207" i="10"/>
  <c r="L204" i="14"/>
  <c r="L204" i="10"/>
  <c r="L105" i="14"/>
  <c r="L105" i="10"/>
  <c r="L149" i="14"/>
  <c r="L149" i="10"/>
  <c r="L87" i="10"/>
  <c r="L87" i="14"/>
  <c r="L159" i="14"/>
  <c r="L159" i="10"/>
  <c r="L85" i="14"/>
  <c r="L85" i="10"/>
  <c r="L200" i="14"/>
  <c r="L200" i="10"/>
  <c r="L35" i="14"/>
  <c r="L35" i="10"/>
  <c r="L175" i="14"/>
  <c r="L175" i="10"/>
  <c r="M18" i="14"/>
  <c r="N18" i="14" s="1"/>
  <c r="L45" i="10"/>
  <c r="L45" i="14"/>
  <c r="L118" i="14"/>
  <c r="L118" i="10"/>
  <c r="L59" i="14"/>
  <c r="L59" i="10"/>
  <c r="L91" i="14"/>
  <c r="L91" i="10"/>
  <c r="L49" i="14"/>
  <c r="L49" i="10"/>
  <c r="L116" i="14"/>
  <c r="L116" i="10"/>
  <c r="L95" i="10"/>
  <c r="L95" i="14"/>
  <c r="L208" i="10"/>
  <c r="L208" i="14"/>
  <c r="L101" i="14"/>
  <c r="L101" i="10"/>
  <c r="L26" i="10"/>
  <c r="L26" i="14"/>
  <c r="L186" i="14"/>
  <c r="L186" i="10"/>
  <c r="L106" i="14"/>
  <c r="L106" i="10"/>
  <c r="L165" i="14"/>
  <c r="L165" i="10"/>
  <c r="L126" i="14"/>
  <c r="L126" i="10"/>
  <c r="L188" i="14"/>
  <c r="L188" i="10"/>
  <c r="M16" i="14"/>
  <c r="N16" i="14" s="1"/>
  <c r="M65" i="14"/>
  <c r="N65" i="14" s="1"/>
  <c r="M149" i="14"/>
  <c r="N149" i="14" s="1"/>
  <c r="M184" i="14"/>
  <c r="N184" i="14" s="1"/>
  <c r="M212" i="14"/>
  <c r="N212" i="14" s="1"/>
  <c r="L55" i="14"/>
  <c r="L55" i="10"/>
  <c r="L212" i="14"/>
  <c r="L212" i="10"/>
  <c r="L177" i="10"/>
  <c r="L177" i="14"/>
  <c r="L166" i="10"/>
  <c r="L166" i="14"/>
  <c r="L62" i="14"/>
  <c r="L62" i="10"/>
  <c r="L28" i="10"/>
  <c r="L28" i="14"/>
  <c r="L132" i="14"/>
  <c r="L132" i="10"/>
  <c r="L57" i="14"/>
  <c r="L57" i="10"/>
  <c r="L117" i="14"/>
  <c r="L117" i="10"/>
  <c r="L53" i="10"/>
  <c r="L53" i="14"/>
  <c r="L92" i="14"/>
  <c r="L92" i="10"/>
  <c r="L30" i="10"/>
  <c r="L30" i="14"/>
  <c r="L196" i="14"/>
  <c r="L196" i="10"/>
  <c r="L21" i="14"/>
  <c r="L21" i="10"/>
  <c r="L129" i="14"/>
  <c r="L129" i="10"/>
  <c r="M69" i="14"/>
  <c r="N69" i="14" s="1"/>
  <c r="M188" i="14"/>
  <c r="N188" i="14" s="1"/>
  <c r="L79" i="10"/>
  <c r="L79" i="14"/>
  <c r="L48" i="14"/>
  <c r="L48" i="10"/>
  <c r="L77" i="10"/>
  <c r="L77" i="14"/>
  <c r="L193" i="10"/>
  <c r="L193" i="14"/>
  <c r="L169" i="10"/>
  <c r="L169" i="14"/>
  <c r="L50" i="10"/>
  <c r="L50" i="14"/>
  <c r="L197" i="14"/>
  <c r="L197" i="10"/>
  <c r="L214" i="14"/>
  <c r="L214" i="10"/>
  <c r="L211" i="10"/>
  <c r="L211" i="14"/>
  <c r="L103" i="10"/>
  <c r="L103" i="14"/>
  <c r="M29" i="14"/>
  <c r="N29" i="14" s="1"/>
  <c r="L182" i="14"/>
  <c r="L182" i="10"/>
  <c r="L109" i="14"/>
  <c r="L109" i="10"/>
  <c r="L24" i="10"/>
  <c r="L24" i="14"/>
  <c r="L34" i="14"/>
  <c r="L34" i="10"/>
  <c r="L141" i="14"/>
  <c r="L141" i="10"/>
  <c r="L80" i="14"/>
  <c r="L80" i="10"/>
  <c r="L78" i="14"/>
  <c r="L78" i="10"/>
  <c r="L104" i="14"/>
  <c r="L104" i="10"/>
  <c r="D7" i="12"/>
  <c r="I7" i="12"/>
  <c r="K225" i="10" s="1"/>
  <c r="D9" i="12"/>
  <c r="I9" i="12"/>
  <c r="D10" i="12"/>
  <c r="I10" i="12"/>
  <c r="D8" i="12"/>
  <c r="I8" i="12"/>
  <c r="B25" i="13"/>
  <c r="B34" i="13" s="1"/>
  <c r="B35" i="13" s="1"/>
  <c r="B36" i="13" s="1"/>
  <c r="B25" i="6"/>
  <c r="D10" i="10"/>
  <c r="L38" i="10"/>
  <c r="L74" i="10"/>
  <c r="L86" i="10"/>
  <c r="L98" i="10"/>
  <c r="L110" i="10"/>
  <c r="L134" i="10"/>
  <c r="L158" i="10"/>
  <c r="L170" i="10"/>
  <c r="L218" i="10"/>
  <c r="L31" i="10"/>
  <c r="L43" i="10"/>
  <c r="L67" i="10"/>
  <c r="L115" i="10"/>
  <c r="L127" i="10"/>
  <c r="L139" i="10"/>
  <c r="L163" i="10"/>
  <c r="L36" i="10"/>
  <c r="L72" i="10"/>
  <c r="L84" i="10"/>
  <c r="L96" i="10"/>
  <c r="L108" i="10"/>
  <c r="L144" i="10"/>
  <c r="L156" i="10"/>
  <c r="L168" i="10"/>
  <c r="L192" i="10"/>
  <c r="L29" i="10"/>
  <c r="L41" i="10"/>
  <c r="L65" i="10"/>
  <c r="L89" i="10"/>
  <c r="L137" i="10"/>
  <c r="L161" i="10"/>
  <c r="L173" i="10"/>
  <c r="L185" i="10"/>
  <c r="L209" i="10"/>
  <c r="L221" i="10"/>
  <c r="L22" i="10"/>
  <c r="L46" i="10"/>
  <c r="L58" i="10"/>
  <c r="L70" i="10"/>
  <c r="L82" i="10"/>
  <c r="L94" i="10"/>
  <c r="L142" i="10"/>
  <c r="L154" i="10"/>
  <c r="L190" i="10"/>
  <c r="L202" i="10"/>
  <c r="L27" i="10"/>
  <c r="L39" i="10"/>
  <c r="L51" i="10"/>
  <c r="L63" i="10"/>
  <c r="L99" i="10"/>
  <c r="L111" i="10"/>
  <c r="L135" i="10"/>
  <c r="L171" i="10"/>
  <c r="L195" i="10"/>
  <c r="D9" i="10"/>
  <c r="L20" i="10"/>
  <c r="L44" i="10"/>
  <c r="L56" i="10"/>
  <c r="L68" i="10"/>
  <c r="L128" i="10"/>
  <c r="L140" i="10"/>
  <c r="L152" i="10"/>
  <c r="L164" i="10"/>
  <c r="L176" i="10"/>
  <c r="L224" i="10"/>
  <c r="L61" i="10"/>
  <c r="L73" i="10"/>
  <c r="L97" i="10"/>
  <c r="L121" i="10"/>
  <c r="L133" i="10"/>
  <c r="L181" i="10"/>
  <c r="L217" i="10"/>
  <c r="D7" i="10"/>
  <c r="L18" i="10"/>
  <c r="L54" i="10"/>
  <c r="L90" i="10"/>
  <c r="L114" i="10"/>
  <c r="L138" i="10"/>
  <c r="L150" i="10"/>
  <c r="L162" i="10"/>
  <c r="L174" i="10"/>
  <c r="L198" i="10"/>
  <c r="L222" i="10"/>
  <c r="D6" i="10"/>
  <c r="L47" i="10"/>
  <c r="L119" i="10"/>
  <c r="L131" i="10"/>
  <c r="L143" i="10"/>
  <c r="L155" i="10"/>
  <c r="L167" i="10"/>
  <c r="L179" i="10"/>
  <c r="L191" i="10"/>
  <c r="L203" i="10"/>
  <c r="L215" i="10"/>
  <c r="L40" i="10"/>
  <c r="L64" i="10"/>
  <c r="L76" i="10"/>
  <c r="L88" i="10"/>
  <c r="L100" i="10"/>
  <c r="L112" i="10"/>
  <c r="L124" i="10"/>
  <c r="L148" i="10"/>
  <c r="L172" i="10"/>
  <c r="L220" i="10"/>
  <c r="B37" i="13" l="1"/>
  <c r="B38" i="13" s="1"/>
  <c r="B49" i="13" s="1"/>
  <c r="B54" i="13" s="1"/>
  <c r="B48" i="13"/>
  <c r="B53" i="13" s="1"/>
  <c r="K7" i="14"/>
  <c r="K7" i="10"/>
  <c r="K10" i="14"/>
  <c r="K10" i="10"/>
  <c r="K8" i="14"/>
  <c r="K8" i="10"/>
  <c r="K9" i="14"/>
  <c r="K9" i="10"/>
  <c r="M216" i="14"/>
  <c r="N216" i="14" s="1"/>
  <c r="M90" i="14"/>
  <c r="N90" i="14" s="1"/>
  <c r="M140" i="14"/>
  <c r="N140" i="14" s="1"/>
  <c r="M178" i="14"/>
  <c r="N178" i="14" s="1"/>
  <c r="N39" i="10"/>
  <c r="N216" i="10"/>
  <c r="M211" i="14"/>
  <c r="N211" i="14" s="1"/>
  <c r="N167" i="10"/>
  <c r="N50" i="10"/>
  <c r="N170" i="10"/>
  <c r="M139" i="14"/>
  <c r="N139" i="14" s="1"/>
  <c r="M173" i="14"/>
  <c r="N173" i="14" s="1"/>
  <c r="M39" i="14"/>
  <c r="N39" i="14" s="1"/>
  <c r="M167" i="14"/>
  <c r="N167" i="14" s="1"/>
  <c r="M118" i="14"/>
  <c r="N118" i="14" s="1"/>
  <c r="M163" i="14"/>
  <c r="N163" i="14" s="1"/>
  <c r="M75" i="14"/>
  <c r="N75" i="14" s="1"/>
  <c r="M11" i="14"/>
  <c r="N11" i="14" s="1"/>
  <c r="M162" i="14"/>
  <c r="N162" i="14" s="1"/>
  <c r="M122" i="14"/>
  <c r="N122" i="14" s="1"/>
  <c r="M222" i="14"/>
  <c r="N222" i="14" s="1"/>
  <c r="M132" i="14"/>
  <c r="N132" i="14" s="1"/>
  <c r="M83" i="14"/>
  <c r="N83" i="14" s="1"/>
  <c r="N202" i="10"/>
  <c r="N53" i="10"/>
  <c r="N163" i="10"/>
  <c r="N121" i="10"/>
  <c r="N37" i="10"/>
  <c r="N122" i="10"/>
  <c r="M181" i="14"/>
  <c r="N181" i="14" s="1"/>
  <c r="M198" i="14"/>
  <c r="N198" i="14" s="1"/>
  <c r="M114" i="14"/>
  <c r="N114" i="14" s="1"/>
  <c r="M113" i="14"/>
  <c r="N113" i="14" s="1"/>
  <c r="M31" i="14"/>
  <c r="N31" i="14" s="1"/>
  <c r="N198" i="10"/>
  <c r="N203" i="10"/>
  <c r="N115" i="10"/>
  <c r="N201" i="10"/>
  <c r="N220" i="10"/>
  <c r="N171" i="10"/>
  <c r="N160" i="10"/>
  <c r="N13" i="10"/>
  <c r="N128" i="10"/>
  <c r="N52" i="10"/>
  <c r="N172" i="10"/>
  <c r="N209" i="10"/>
  <c r="N111" i="10"/>
  <c r="N29" i="10"/>
  <c r="N177" i="10"/>
  <c r="N194" i="10"/>
  <c r="N140" i="10"/>
  <c r="N91" i="10"/>
  <c r="N114" i="10"/>
  <c r="N85" i="10"/>
  <c r="N112" i="10"/>
  <c r="N16" i="10"/>
  <c r="N71" i="10"/>
  <c r="N98" i="10"/>
  <c r="N187" i="10"/>
  <c r="N141" i="10"/>
  <c r="N217" i="10"/>
  <c r="N55" i="10"/>
  <c r="N183" i="10"/>
  <c r="N210" i="10"/>
  <c r="N63" i="10"/>
  <c r="N42" i="10"/>
  <c r="M103" i="14"/>
  <c r="N103" i="14" s="1"/>
  <c r="N188" i="10"/>
  <c r="N224" i="10"/>
  <c r="N126" i="10"/>
  <c r="N21" i="10"/>
  <c r="N119" i="10"/>
  <c r="N219" i="10"/>
  <c r="N72" i="10"/>
  <c r="N40" i="10"/>
  <c r="N218" i="10"/>
  <c r="N169" i="10"/>
  <c r="N120" i="10"/>
  <c r="N196" i="10"/>
  <c r="N129" i="10"/>
  <c r="M91" i="14"/>
  <c r="N91" i="14" s="1"/>
  <c r="M42" i="14"/>
  <c r="N42" i="14" s="1"/>
  <c r="N212" i="10"/>
  <c r="M100" i="14"/>
  <c r="N100" i="14" s="1"/>
  <c r="N147" i="10"/>
  <c r="N139" i="10"/>
  <c r="N90" i="10"/>
  <c r="N149" i="10"/>
  <c r="N68" i="10"/>
  <c r="N10" i="10"/>
  <c r="N7" i="10"/>
  <c r="N6" i="10"/>
  <c r="M62" i="14"/>
  <c r="N62" i="14" s="1"/>
  <c r="N181" i="10"/>
  <c r="N132" i="10"/>
  <c r="N83" i="10"/>
  <c r="N152" i="10"/>
  <c r="N215" i="10"/>
  <c r="N166" i="10"/>
  <c r="N57" i="10"/>
  <c r="N164" i="10"/>
  <c r="M157" i="14"/>
  <c r="N157" i="14" s="1"/>
  <c r="N36" i="10"/>
  <c r="N213" i="10"/>
  <c r="M74" i="14"/>
  <c r="N74" i="14" s="1"/>
  <c r="M206" i="14"/>
  <c r="N206" i="14" s="1"/>
  <c r="M51" i="14"/>
  <c r="N51" i="14" s="1"/>
  <c r="N80" i="10"/>
  <c r="M171" i="14"/>
  <c r="N171" i="14" s="1"/>
  <c r="N24" i="10"/>
  <c r="N190" i="10"/>
  <c r="N179" i="10"/>
  <c r="M43" i="14"/>
  <c r="N43" i="14" s="1"/>
  <c r="M183" i="14"/>
  <c r="N183" i="14" s="1"/>
  <c r="M134" i="14"/>
  <c r="N134" i="14" s="1"/>
  <c r="M85" i="14"/>
  <c r="N85" i="14" s="1"/>
  <c r="M210" i="14"/>
  <c r="N210" i="14" s="1"/>
  <c r="M161" i="14"/>
  <c r="N161" i="14" s="1"/>
  <c r="M112" i="14"/>
  <c r="N112" i="14" s="1"/>
  <c r="M63" i="14"/>
  <c r="N63" i="14" s="1"/>
  <c r="M14" i="14"/>
  <c r="N14" i="14" s="1"/>
  <c r="M220" i="14"/>
  <c r="N220" i="14" s="1"/>
  <c r="N186" i="10"/>
  <c r="N49" i="10"/>
  <c r="N134" i="10"/>
  <c r="N221" i="10"/>
  <c r="N123" i="10"/>
  <c r="N161" i="10"/>
  <c r="N14" i="10"/>
  <c r="M89" i="14"/>
  <c r="N89" i="14" s="1"/>
  <c r="M60" i="14"/>
  <c r="N60" i="14" s="1"/>
  <c r="M187" i="14"/>
  <c r="N187" i="14" s="1"/>
  <c r="N17" i="10"/>
  <c r="M59" i="14"/>
  <c r="N59" i="14" s="1"/>
  <c r="N108" i="10"/>
  <c r="M81" i="14"/>
  <c r="N81" i="14" s="1"/>
  <c r="N214" i="10"/>
  <c r="N165" i="10"/>
  <c r="N109" i="10"/>
  <c r="M61" i="14"/>
  <c r="N61" i="14" s="1"/>
  <c r="M152" i="14"/>
  <c r="N152" i="14" s="1"/>
  <c r="M40" i="14"/>
  <c r="N40" i="14" s="1"/>
  <c r="M204" i="14"/>
  <c r="N204" i="14" s="1"/>
  <c r="M155" i="14"/>
  <c r="N155" i="14" s="1"/>
  <c r="M106" i="14"/>
  <c r="N106" i="14" s="1"/>
  <c r="N94" i="10"/>
  <c r="M108" i="14"/>
  <c r="N108" i="14" s="1"/>
  <c r="M32" i="14"/>
  <c r="N32" i="14" s="1"/>
  <c r="N204" i="10"/>
  <c r="M41" i="14"/>
  <c r="N41" i="14" s="1"/>
  <c r="M12" i="14"/>
  <c r="N12" i="14" s="1"/>
  <c r="M223" i="14"/>
  <c r="N223" i="14" s="1"/>
  <c r="M174" i="14"/>
  <c r="N174" i="14" s="1"/>
  <c r="M125" i="14"/>
  <c r="N125" i="14" s="1"/>
  <c r="M76" i="14"/>
  <c r="N76" i="14" s="1"/>
  <c r="M138" i="14"/>
  <c r="N138" i="14" s="1"/>
  <c r="M197" i="14"/>
  <c r="N197" i="14" s="1"/>
  <c r="M148" i="14"/>
  <c r="N148" i="14" s="1"/>
  <c r="M99" i="14"/>
  <c r="N99" i="14" s="1"/>
  <c r="M25" i="14"/>
  <c r="N25" i="14" s="1"/>
  <c r="N158" i="10"/>
  <c r="N47" i="10"/>
  <c r="N155" i="10"/>
  <c r="N67" i="10"/>
  <c r="N133" i="10"/>
  <c r="N35" i="10"/>
  <c r="N44" i="10"/>
  <c r="N197" i="10"/>
  <c r="N25" i="10"/>
  <c r="N175" i="10"/>
  <c r="N77" i="10"/>
  <c r="N28" i="10"/>
  <c r="N38" i="10"/>
  <c r="N153" i="10"/>
  <c r="N70" i="10"/>
  <c r="N27" i="10"/>
  <c r="N145" i="10"/>
  <c r="N116" i="10"/>
  <c r="N206" i="10"/>
  <c r="N69" i="10"/>
  <c r="N51" i="10"/>
  <c r="N193" i="10"/>
  <c r="N144" i="10"/>
  <c r="N45" i="10"/>
  <c r="N46" i="10"/>
  <c r="N41" i="10"/>
  <c r="N12" i="10"/>
  <c r="N223" i="10"/>
  <c r="N93" i="10"/>
  <c r="N208" i="10"/>
  <c r="N26" i="10"/>
  <c r="N22" i="10"/>
  <c r="N88" i="10"/>
  <c r="N185" i="10"/>
  <c r="N92" i="10"/>
  <c r="N56" i="10"/>
  <c r="N118" i="10"/>
  <c r="N168" i="10"/>
  <c r="N195" i="10"/>
  <c r="N146" i="10"/>
  <c r="N97" i="10"/>
  <c r="N62" i="10"/>
  <c r="N30" i="10"/>
  <c r="N205" i="10"/>
  <c r="N156" i="10"/>
  <c r="N107" i="10"/>
  <c r="N58" i="10"/>
  <c r="N9" i="10"/>
  <c r="N54" i="10"/>
  <c r="N32" i="10"/>
  <c r="N180" i="10"/>
  <c r="N131" i="10"/>
  <c r="N33" i="10"/>
  <c r="N75" i="10"/>
  <c r="N222" i="10"/>
  <c r="N61" i="10"/>
  <c r="N127" i="10"/>
  <c r="N211" i="10"/>
  <c r="N64" i="10"/>
  <c r="N81" i="10"/>
  <c r="N200" i="10"/>
  <c r="L11" i="10"/>
  <c r="L11" i="14"/>
  <c r="L16" i="10"/>
  <c r="L16" i="14"/>
  <c r="M202" i="14"/>
  <c r="N202" i="14" s="1"/>
  <c r="M153" i="14"/>
  <c r="N153" i="14" s="1"/>
  <c r="M104" i="14"/>
  <c r="N104" i="14" s="1"/>
  <c r="M34" i="14"/>
  <c r="N34" i="14" s="1"/>
  <c r="G225" i="14"/>
  <c r="M194" i="14"/>
  <c r="N194" i="14" s="1"/>
  <c r="M117" i="14"/>
  <c r="N117" i="14" s="1"/>
  <c r="M8" i="14"/>
  <c r="N8" i="14" s="1"/>
  <c r="M221" i="14"/>
  <c r="N221" i="14" s="1"/>
  <c r="M172" i="14"/>
  <c r="N172" i="14" s="1"/>
  <c r="M123" i="14"/>
  <c r="N123" i="14" s="1"/>
  <c r="M80" i="14"/>
  <c r="N80" i="14" s="1"/>
  <c r="N117" i="10"/>
  <c r="L13" i="10"/>
  <c r="L13" i="14"/>
  <c r="M219" i="14"/>
  <c r="N219" i="14" s="1"/>
  <c r="M170" i="14"/>
  <c r="N170" i="14" s="1"/>
  <c r="M121" i="14"/>
  <c r="N121" i="14" s="1"/>
  <c r="M72" i="14"/>
  <c r="N72" i="14" s="1"/>
  <c r="M23" i="14"/>
  <c r="N23" i="14" s="1"/>
  <c r="M36" i="14"/>
  <c r="N36" i="14" s="1"/>
  <c r="N8" i="10"/>
  <c r="M195" i="14"/>
  <c r="N195" i="14" s="1"/>
  <c r="M146" i="14"/>
  <c r="N146" i="14" s="1"/>
  <c r="M97" i="14"/>
  <c r="N97" i="14" s="1"/>
  <c r="M20" i="14"/>
  <c r="N20" i="14" s="1"/>
  <c r="M50" i="14"/>
  <c r="N50" i="14" s="1"/>
  <c r="M145" i="14"/>
  <c r="N145" i="14" s="1"/>
  <c r="M96" i="14"/>
  <c r="N96" i="14" s="1"/>
  <c r="M176" i="14"/>
  <c r="N176" i="14" s="1"/>
  <c r="M127" i="14"/>
  <c r="N127" i="14" s="1"/>
  <c r="M78" i="14"/>
  <c r="N78" i="14" s="1"/>
  <c r="M214" i="14"/>
  <c r="N214" i="14" s="1"/>
  <c r="M165" i="14"/>
  <c r="N165" i="14" s="1"/>
  <c r="M116" i="14"/>
  <c r="N116" i="14" s="1"/>
  <c r="M203" i="14"/>
  <c r="N203" i="14" s="1"/>
  <c r="M154" i="14"/>
  <c r="N154" i="14" s="1"/>
  <c r="M105" i="14"/>
  <c r="N105" i="14" s="1"/>
  <c r="M56" i="14"/>
  <c r="N56" i="14" s="1"/>
  <c r="M7" i="14"/>
  <c r="N7" i="14" s="1"/>
  <c r="M73" i="14"/>
  <c r="N73" i="14" s="1"/>
  <c r="M24" i="14"/>
  <c r="N24" i="14" s="1"/>
  <c r="N191" i="10"/>
  <c r="N76" i="10"/>
  <c r="N103" i="10"/>
  <c r="L14" i="10"/>
  <c r="L14" i="14"/>
  <c r="M68" i="14"/>
  <c r="N68" i="14" s="1"/>
  <c r="N105" i="10"/>
  <c r="N73" i="10"/>
  <c r="M6" i="14"/>
  <c r="N6" i="14" s="1"/>
  <c r="M53" i="14"/>
  <c r="N53" i="14" s="1"/>
  <c r="M110" i="14"/>
  <c r="N110" i="14" s="1"/>
  <c r="M180" i="14"/>
  <c r="N180" i="14" s="1"/>
  <c r="M82" i="14"/>
  <c r="N82" i="14" s="1"/>
  <c r="M218" i="14"/>
  <c r="N218" i="14" s="1"/>
  <c r="M169" i="14"/>
  <c r="N169" i="14" s="1"/>
  <c r="M120" i="14"/>
  <c r="N120" i="14" s="1"/>
  <c r="M71" i="14"/>
  <c r="N71" i="14" s="1"/>
  <c r="M207" i="14"/>
  <c r="N207" i="14" s="1"/>
  <c r="M158" i="14"/>
  <c r="N158" i="14" s="1"/>
  <c r="M109" i="14"/>
  <c r="N109" i="14" s="1"/>
  <c r="M196" i="14"/>
  <c r="N196" i="14" s="1"/>
  <c r="M147" i="14"/>
  <c r="N147" i="14" s="1"/>
  <c r="M98" i="14"/>
  <c r="N98" i="14" s="1"/>
  <c r="M49" i="14"/>
  <c r="N49" i="14" s="1"/>
  <c r="M213" i="14"/>
  <c r="N213" i="14" s="1"/>
  <c r="M164" i="14"/>
  <c r="N164" i="14" s="1"/>
  <c r="M115" i="14"/>
  <c r="N115" i="14" s="1"/>
  <c r="M66" i="14"/>
  <c r="N66" i="14" s="1"/>
  <c r="M17" i="14"/>
  <c r="N17" i="14" s="1"/>
  <c r="N79" i="10"/>
  <c r="M48" i="14"/>
  <c r="N48" i="14" s="1"/>
  <c r="M205" i="14"/>
  <c r="N205" i="14" s="1"/>
  <c r="M156" i="14"/>
  <c r="N156" i="14" s="1"/>
  <c r="M107" i="14"/>
  <c r="N107" i="14" s="1"/>
  <c r="M58" i="14"/>
  <c r="N58" i="14" s="1"/>
  <c r="M9" i="14"/>
  <c r="N9" i="14" s="1"/>
  <c r="M54" i="14"/>
  <c r="N54" i="14" s="1"/>
  <c r="M200" i="14"/>
  <c r="N200" i="14" s="1"/>
  <c r="M151" i="14"/>
  <c r="N151" i="14" s="1"/>
  <c r="M102" i="14"/>
  <c r="N102" i="14" s="1"/>
  <c r="M33" i="14"/>
  <c r="N33" i="14" s="1"/>
  <c r="N189" i="10"/>
  <c r="M215" i="14"/>
  <c r="N215" i="14" s="1"/>
  <c r="M166" i="14"/>
  <c r="N166" i="14" s="1"/>
  <c r="M47" i="14"/>
  <c r="N47" i="14" s="1"/>
  <c r="M57" i="14"/>
  <c r="N57" i="14" s="1"/>
  <c r="M67" i="14"/>
  <c r="N67" i="14" s="1"/>
  <c r="M193" i="14"/>
  <c r="N193" i="14" s="1"/>
  <c r="M144" i="14"/>
  <c r="N144" i="14" s="1"/>
  <c r="M95" i="14"/>
  <c r="N95" i="14" s="1"/>
  <c r="M182" i="14"/>
  <c r="N182" i="14" s="1"/>
  <c r="M133" i="14"/>
  <c r="N133" i="14" s="1"/>
  <c r="M84" i="14"/>
  <c r="N84" i="14" s="1"/>
  <c r="M35" i="14"/>
  <c r="N35" i="14" s="1"/>
  <c r="M199" i="14"/>
  <c r="N199" i="14" s="1"/>
  <c r="M150" i="14"/>
  <c r="N150" i="14" s="1"/>
  <c r="M101" i="14"/>
  <c r="N101" i="14" s="1"/>
  <c r="M52" i="14"/>
  <c r="N52" i="14" s="1"/>
  <c r="M15" i="14"/>
  <c r="N15" i="14" s="1"/>
  <c r="L12" i="10"/>
  <c r="L12" i="14"/>
  <c r="M27" i="14"/>
  <c r="N27" i="14" s="1"/>
  <c r="M191" i="14"/>
  <c r="N191" i="14" s="1"/>
  <c r="M142" i="14"/>
  <c r="N142" i="14" s="1"/>
  <c r="M93" i="14"/>
  <c r="N93" i="14" s="1"/>
  <c r="M44" i="14"/>
  <c r="N44" i="14" s="1"/>
  <c r="M19" i="14"/>
  <c r="N19" i="14" s="1"/>
  <c r="L6" i="10"/>
  <c r="L6" i="14"/>
  <c r="M208" i="14"/>
  <c r="N208" i="14" s="1"/>
  <c r="M159" i="14"/>
  <c r="N159" i="14" s="1"/>
  <c r="M26" i="14"/>
  <c r="N26" i="14" s="1"/>
  <c r="M22" i="14"/>
  <c r="N22" i="14" s="1"/>
  <c r="M186" i="14"/>
  <c r="N186" i="14" s="1"/>
  <c r="M137" i="14"/>
  <c r="N137" i="14" s="1"/>
  <c r="M88" i="14"/>
  <c r="N88" i="14" s="1"/>
  <c r="M224" i="14"/>
  <c r="N224" i="14" s="1"/>
  <c r="M175" i="14"/>
  <c r="N175" i="14" s="1"/>
  <c r="M126" i="14"/>
  <c r="N126" i="14" s="1"/>
  <c r="M77" i="14"/>
  <c r="N77" i="14" s="1"/>
  <c r="M28" i="14"/>
  <c r="N28" i="14" s="1"/>
  <c r="M192" i="14"/>
  <c r="N192" i="14" s="1"/>
  <c r="M143" i="14"/>
  <c r="N143" i="14" s="1"/>
  <c r="M94" i="14"/>
  <c r="N94" i="14" s="1"/>
  <c r="M45" i="14"/>
  <c r="N45" i="14" s="1"/>
  <c r="M46" i="14"/>
  <c r="N46" i="14" s="1"/>
  <c r="M13" i="14"/>
  <c r="N13" i="14" s="1"/>
  <c r="M135" i="14"/>
  <c r="N135" i="14" s="1"/>
  <c r="M86" i="14"/>
  <c r="N86" i="14" s="1"/>
  <c r="M37" i="14"/>
  <c r="N37" i="14" s="1"/>
  <c r="M124" i="14"/>
  <c r="N124" i="14" s="1"/>
  <c r="M209" i="14"/>
  <c r="N209" i="14" s="1"/>
  <c r="M160" i="14"/>
  <c r="N160" i="14" s="1"/>
  <c r="M111" i="14"/>
  <c r="N111" i="14" s="1"/>
  <c r="M55" i="14"/>
  <c r="N55" i="14" s="1"/>
  <c r="M201" i="14"/>
  <c r="N201" i="14" s="1"/>
  <c r="M131" i="14"/>
  <c r="N131" i="14" s="1"/>
  <c r="M190" i="14"/>
  <c r="N190" i="14" s="1"/>
  <c r="M141" i="14"/>
  <c r="N141" i="14" s="1"/>
  <c r="M92" i="14"/>
  <c r="N92" i="14" s="1"/>
  <c r="M179" i="14"/>
  <c r="N179" i="14" s="1"/>
  <c r="M130" i="14"/>
  <c r="N130" i="14" s="1"/>
  <c r="M217" i="14"/>
  <c r="N217" i="14" s="1"/>
  <c r="M168" i="14"/>
  <c r="N168" i="14" s="1"/>
  <c r="M119" i="14"/>
  <c r="N119" i="14" s="1"/>
  <c r="M70" i="14"/>
  <c r="N70" i="14" s="1"/>
  <c r="M21" i="14"/>
  <c r="N21" i="14" s="1"/>
  <c r="M185" i="14"/>
  <c r="N185" i="14" s="1"/>
  <c r="M136" i="14"/>
  <c r="N136" i="14" s="1"/>
  <c r="M87" i="14"/>
  <c r="N87" i="14" s="1"/>
  <c r="M38" i="14"/>
  <c r="N38" i="14" s="1"/>
  <c r="L15" i="10"/>
  <c r="L15" i="14"/>
  <c r="M177" i="14"/>
  <c r="N177" i="14" s="1"/>
  <c r="M128" i="14"/>
  <c r="N128" i="14" s="1"/>
  <c r="M79" i="14"/>
  <c r="N79" i="14" s="1"/>
  <c r="M30" i="14"/>
  <c r="N30" i="14" s="1"/>
  <c r="N87" i="10"/>
  <c r="N82" i="10"/>
  <c r="N113" i="10"/>
  <c r="N137" i="10"/>
  <c r="N20" i="10"/>
  <c r="N104" i="10"/>
  <c r="N174" i="10"/>
  <c r="N162" i="10"/>
  <c r="N101" i="10"/>
  <c r="N31" i="10"/>
  <c r="N86" i="10"/>
  <c r="N125" i="10"/>
  <c r="N43" i="10"/>
  <c r="N157" i="10"/>
  <c r="N66" i="10"/>
  <c r="N89" i="10"/>
  <c r="N74" i="10"/>
  <c r="N124" i="10"/>
  <c r="N48" i="10"/>
  <c r="N142" i="10"/>
  <c r="N192" i="10"/>
  <c r="N110" i="10"/>
  <c r="N78" i="10"/>
  <c r="N150" i="10"/>
  <c r="N207" i="10"/>
  <c r="N96" i="10"/>
  <c r="N176" i="10"/>
  <c r="N106" i="10"/>
  <c r="N15" i="10"/>
  <c r="N11" i="10"/>
  <c r="N148" i="10"/>
  <c r="N184" i="10"/>
  <c r="N143" i="10"/>
  <c r="N138" i="10"/>
  <c r="N199" i="10"/>
  <c r="N136" i="10"/>
  <c r="N19" i="10"/>
  <c r="N130" i="10"/>
  <c r="N60" i="10"/>
  <c r="N95" i="10"/>
  <c r="N65" i="10"/>
  <c r="N178" i="10"/>
  <c r="N59" i="10"/>
  <c r="N99" i="10"/>
  <c r="N151" i="10"/>
  <c r="N102" i="10"/>
  <c r="N23" i="10"/>
  <c r="N159" i="10"/>
  <c r="N182" i="10"/>
  <c r="N84" i="10"/>
  <c r="N100" i="10"/>
  <c r="N135" i="10"/>
  <c r="N154" i="10"/>
  <c r="N173" i="10"/>
  <c r="N34" i="10"/>
  <c r="N18" i="10"/>
  <c r="D5" i="10"/>
  <c r="D5" i="12"/>
  <c r="N5" i="10" l="1"/>
  <c r="N225" i="10" s="1"/>
  <c r="L9" i="10"/>
  <c r="L9" i="14"/>
  <c r="L8" i="10"/>
  <c r="L8" i="14"/>
  <c r="L10" i="10"/>
  <c r="L10" i="14"/>
  <c r="L7" i="10"/>
  <c r="L7" i="14"/>
  <c r="M5" i="14"/>
  <c r="N5" i="14" s="1"/>
  <c r="N225" i="14" s="1"/>
  <c r="E225" i="14"/>
  <c r="M225" i="14" s="1"/>
  <c r="G225" i="12"/>
  <c r="I225" i="12" s="1"/>
  <c r="L5" i="10" l="1"/>
  <c r="K225" i="14"/>
  <c r="J225" i="14"/>
  <c r="H225" i="12"/>
  <c r="L225" i="14" l="1"/>
  <c r="L5" i="14"/>
  <c r="L225" i="10"/>
  <c r="C5" i="13" l="1"/>
  <c r="C14" i="13" s="1"/>
  <c r="C34" i="13" s="1"/>
  <c r="C35" i="13" s="1"/>
  <c r="B14" i="6" l="1"/>
  <c r="B34" i="6" s="1"/>
  <c r="C36" i="13"/>
  <c r="B35" i="6" l="1"/>
  <c r="B36" i="6" s="1"/>
  <c r="B37" i="6" s="1"/>
  <c r="B38" i="6" s="1"/>
  <c r="C49" i="13"/>
  <c r="C54" i="13" s="1"/>
  <c r="C48" i="13"/>
  <c r="C53" i="13" s="1"/>
  <c r="B51" i="6" l="1"/>
  <c r="B54" i="6" s="1"/>
  <c r="B52" i="6"/>
  <c r="B55" i="6" s="1"/>
  <c r="H14" i="10" l="1"/>
  <c r="H26" i="10"/>
  <c r="H38" i="10"/>
  <c r="H50" i="10"/>
  <c r="H62" i="10"/>
  <c r="H74" i="10"/>
  <c r="H86" i="10"/>
  <c r="H98" i="10"/>
  <c r="H110" i="10"/>
  <c r="H122" i="10"/>
  <c r="H134" i="10"/>
  <c r="H146" i="10"/>
  <c r="H158" i="10"/>
  <c r="H170" i="10"/>
  <c r="H182" i="10"/>
  <c r="H194" i="10"/>
  <c r="H206" i="10"/>
  <c r="H218" i="10"/>
  <c r="H16" i="14"/>
  <c r="H28" i="14"/>
  <c r="H40" i="14"/>
  <c r="H52" i="14"/>
  <c r="H64" i="14"/>
  <c r="H76" i="14"/>
  <c r="H88" i="14"/>
  <c r="H100" i="14"/>
  <c r="H112" i="14"/>
  <c r="H124" i="14"/>
  <c r="H136" i="14"/>
  <c r="H148" i="14"/>
  <c r="H160" i="14"/>
  <c r="H172" i="14"/>
  <c r="H184" i="14"/>
  <c r="H196" i="14"/>
  <c r="H208" i="14"/>
  <c r="H220" i="14"/>
  <c r="H15" i="10"/>
  <c r="H27" i="10"/>
  <c r="H39" i="10"/>
  <c r="H51" i="10"/>
  <c r="H63" i="10"/>
  <c r="H75" i="10"/>
  <c r="H87" i="10"/>
  <c r="H99" i="10"/>
  <c r="H111" i="10"/>
  <c r="H123" i="10"/>
  <c r="H135" i="10"/>
  <c r="H147" i="10"/>
  <c r="H159" i="10"/>
  <c r="H171" i="10"/>
  <c r="H183" i="10"/>
  <c r="H195" i="10"/>
  <c r="H207" i="10"/>
  <c r="H219" i="10"/>
  <c r="H17" i="14"/>
  <c r="H29" i="14"/>
  <c r="H41" i="14"/>
  <c r="H53" i="14"/>
  <c r="H65" i="14"/>
  <c r="H77" i="14"/>
  <c r="H89" i="14"/>
  <c r="H101" i="14"/>
  <c r="H113" i="14"/>
  <c r="H125" i="14"/>
  <c r="H137" i="14"/>
  <c r="H149" i="14"/>
  <c r="H161" i="14"/>
  <c r="H173" i="14"/>
  <c r="H185" i="14"/>
  <c r="H197" i="14"/>
  <c r="H209" i="14"/>
  <c r="H221" i="14"/>
  <c r="H16" i="10"/>
  <c r="H28" i="10"/>
  <c r="H40" i="10"/>
  <c r="H52" i="10"/>
  <c r="H64" i="10"/>
  <c r="H76" i="10"/>
  <c r="H88" i="10"/>
  <c r="H100" i="10"/>
  <c r="H112" i="10"/>
  <c r="H124" i="10"/>
  <c r="H136" i="10"/>
  <c r="H148" i="10"/>
  <c r="H160" i="10"/>
  <c r="H172" i="10"/>
  <c r="H184" i="10"/>
  <c r="H196" i="10"/>
  <c r="H208" i="10"/>
  <c r="H220" i="10"/>
  <c r="H6" i="14"/>
  <c r="H18" i="14"/>
  <c r="H30" i="14"/>
  <c r="H42" i="14"/>
  <c r="H54" i="14"/>
  <c r="H66" i="14"/>
  <c r="H78" i="14"/>
  <c r="H90" i="14"/>
  <c r="H102" i="14"/>
  <c r="H114" i="14"/>
  <c r="H126" i="14"/>
  <c r="H138" i="14"/>
  <c r="H150" i="14"/>
  <c r="H162" i="14"/>
  <c r="H174" i="14"/>
  <c r="H186" i="14"/>
  <c r="H198" i="14"/>
  <c r="H210" i="14"/>
  <c r="H222" i="14"/>
  <c r="H17" i="10"/>
  <c r="H29" i="10"/>
  <c r="H41" i="10"/>
  <c r="H53" i="10"/>
  <c r="H65" i="10"/>
  <c r="H77" i="10"/>
  <c r="H89" i="10"/>
  <c r="H101" i="10"/>
  <c r="H113" i="10"/>
  <c r="H125" i="10"/>
  <c r="H137" i="10"/>
  <c r="H149" i="10"/>
  <c r="H161" i="10"/>
  <c r="H173" i="10"/>
  <c r="H185" i="10"/>
  <c r="H197" i="10"/>
  <c r="H209" i="10"/>
  <c r="H221" i="10"/>
  <c r="H7" i="14"/>
  <c r="H19" i="14"/>
  <c r="H31" i="14"/>
  <c r="H43" i="14"/>
  <c r="H55" i="14"/>
  <c r="H67" i="14"/>
  <c r="H79" i="14"/>
  <c r="H91" i="14"/>
  <c r="H103" i="14"/>
  <c r="H115" i="14"/>
  <c r="H127" i="14"/>
  <c r="H139" i="14"/>
  <c r="H151" i="14"/>
  <c r="H163" i="14"/>
  <c r="H175" i="14"/>
  <c r="H187" i="14"/>
  <c r="H199" i="14"/>
  <c r="H211" i="14"/>
  <c r="H223" i="14"/>
  <c r="H6" i="10"/>
  <c r="H18" i="10"/>
  <c r="H30" i="10"/>
  <c r="H42" i="10"/>
  <c r="H54" i="10"/>
  <c r="H66" i="10"/>
  <c r="H78" i="10"/>
  <c r="H90" i="10"/>
  <c r="H102" i="10"/>
  <c r="H114" i="10"/>
  <c r="H126" i="10"/>
  <c r="H138" i="10"/>
  <c r="H150" i="10"/>
  <c r="H162" i="10"/>
  <c r="H174" i="10"/>
  <c r="H186" i="10"/>
  <c r="H198" i="10"/>
  <c r="H210" i="10"/>
  <c r="H222" i="10"/>
  <c r="H8" i="14"/>
  <c r="H20" i="14"/>
  <c r="H32" i="14"/>
  <c r="H44" i="14"/>
  <c r="H56" i="14"/>
  <c r="H68" i="14"/>
  <c r="H80" i="14"/>
  <c r="H92" i="14"/>
  <c r="H104" i="14"/>
  <c r="H116" i="14"/>
  <c r="H128" i="14"/>
  <c r="H140" i="14"/>
  <c r="H152" i="14"/>
  <c r="H164" i="14"/>
  <c r="H176" i="14"/>
  <c r="H188" i="14"/>
  <c r="H200" i="14"/>
  <c r="H212" i="14"/>
  <c r="H224" i="14"/>
  <c r="H7" i="10"/>
  <c r="H19" i="10"/>
  <c r="H31" i="10"/>
  <c r="H43" i="10"/>
  <c r="H55" i="10"/>
  <c r="H67" i="10"/>
  <c r="H79" i="10"/>
  <c r="H91" i="10"/>
  <c r="H103" i="10"/>
  <c r="H115" i="10"/>
  <c r="H127" i="10"/>
  <c r="H139" i="10"/>
  <c r="H151" i="10"/>
  <c r="H163" i="10"/>
  <c r="H175" i="10"/>
  <c r="H187" i="10"/>
  <c r="H199" i="10"/>
  <c r="H211" i="10"/>
  <c r="H223" i="10"/>
  <c r="H9" i="14"/>
  <c r="H21" i="14"/>
  <c r="H33" i="14"/>
  <c r="H45" i="14"/>
  <c r="H57" i="14"/>
  <c r="H69" i="14"/>
  <c r="H81" i="14"/>
  <c r="H93" i="14"/>
  <c r="H105" i="14"/>
  <c r="H117" i="14"/>
  <c r="H129" i="14"/>
  <c r="H141" i="14"/>
  <c r="H153" i="14"/>
  <c r="H165" i="14"/>
  <c r="H177" i="14"/>
  <c r="H189" i="14"/>
  <c r="H201" i="14"/>
  <c r="H213" i="14"/>
  <c r="H5" i="14"/>
  <c r="H8" i="10"/>
  <c r="H20" i="10"/>
  <c r="H32" i="10"/>
  <c r="H44" i="10"/>
  <c r="H56" i="10"/>
  <c r="H68" i="10"/>
  <c r="H80" i="10"/>
  <c r="H92" i="10"/>
  <c r="H104" i="10"/>
  <c r="H116" i="10"/>
  <c r="H128" i="10"/>
  <c r="H140" i="10"/>
  <c r="H152" i="10"/>
  <c r="H164" i="10"/>
  <c r="H176" i="10"/>
  <c r="H188" i="10"/>
  <c r="H200" i="10"/>
  <c r="H212" i="10"/>
  <c r="H224" i="10"/>
  <c r="H10" i="14"/>
  <c r="H22" i="14"/>
  <c r="H34" i="14"/>
  <c r="H46" i="14"/>
  <c r="H58" i="14"/>
  <c r="H70" i="14"/>
  <c r="H82" i="14"/>
  <c r="H94" i="14"/>
  <c r="H106" i="14"/>
  <c r="H118" i="14"/>
  <c r="H130" i="14"/>
  <c r="H142" i="14"/>
  <c r="H154" i="14"/>
  <c r="H166" i="14"/>
  <c r="H178" i="14"/>
  <c r="H190" i="14"/>
  <c r="H202" i="14"/>
  <c r="H214" i="14"/>
  <c r="H22" i="10"/>
  <c r="H46" i="10"/>
  <c r="H58" i="10"/>
  <c r="H70" i="10"/>
  <c r="H82" i="10"/>
  <c r="H94" i="10"/>
  <c r="H106" i="10"/>
  <c r="H118" i="10"/>
  <c r="H130" i="10"/>
  <c r="H142" i="10"/>
  <c r="H154" i="10"/>
  <c r="H166" i="10"/>
  <c r="H178" i="10"/>
  <c r="H190" i="10"/>
  <c r="H9" i="10"/>
  <c r="H21" i="10"/>
  <c r="H33" i="10"/>
  <c r="H45" i="10"/>
  <c r="H57" i="10"/>
  <c r="H69" i="10"/>
  <c r="H81" i="10"/>
  <c r="H93" i="10"/>
  <c r="H105" i="10"/>
  <c r="H117" i="10"/>
  <c r="H129" i="10"/>
  <c r="H141" i="10"/>
  <c r="H153" i="10"/>
  <c r="H165" i="10"/>
  <c r="H177" i="10"/>
  <c r="H189" i="10"/>
  <c r="H201" i="10"/>
  <c r="H213" i="10"/>
  <c r="H225" i="10"/>
  <c r="H11" i="14"/>
  <c r="H23" i="14"/>
  <c r="H35" i="14"/>
  <c r="H47" i="14"/>
  <c r="H59" i="14"/>
  <c r="H71" i="14"/>
  <c r="H83" i="14"/>
  <c r="H95" i="14"/>
  <c r="H107" i="14"/>
  <c r="H119" i="14"/>
  <c r="H131" i="14"/>
  <c r="H143" i="14"/>
  <c r="H155" i="14"/>
  <c r="H167" i="14"/>
  <c r="H179" i="14"/>
  <c r="H191" i="14"/>
  <c r="H203" i="14"/>
  <c r="H215" i="14"/>
  <c r="H10" i="10"/>
  <c r="H11" i="10"/>
  <c r="H23" i="10"/>
  <c r="H35" i="10"/>
  <c r="H47" i="10"/>
  <c r="H59" i="10"/>
  <c r="H71" i="10"/>
  <c r="H83" i="10"/>
  <c r="H95" i="10"/>
  <c r="H107" i="10"/>
  <c r="H119" i="10"/>
  <c r="H131" i="10"/>
  <c r="H143" i="10"/>
  <c r="H155" i="10"/>
  <c r="H167" i="10"/>
  <c r="H179" i="10"/>
  <c r="H191" i="10"/>
  <c r="H203" i="10"/>
  <c r="H215" i="10"/>
  <c r="H13" i="14"/>
  <c r="H25" i="14"/>
  <c r="H37" i="14"/>
  <c r="H49" i="14"/>
  <c r="H61" i="14"/>
  <c r="H73" i="14"/>
  <c r="H85" i="14"/>
  <c r="H97" i="14"/>
  <c r="H109" i="14"/>
  <c r="H121" i="14"/>
  <c r="H133" i="14"/>
  <c r="H145" i="14"/>
  <c r="H157" i="14"/>
  <c r="H169" i="14"/>
  <c r="H181" i="14"/>
  <c r="H193" i="14"/>
  <c r="H205" i="14"/>
  <c r="H217" i="14"/>
  <c r="H12" i="10"/>
  <c r="H24" i="10"/>
  <c r="H36" i="10"/>
  <c r="H48" i="10"/>
  <c r="H60" i="10"/>
  <c r="H72" i="10"/>
  <c r="H84" i="10"/>
  <c r="H96" i="10"/>
  <c r="H108" i="10"/>
  <c r="H120" i="10"/>
  <c r="H132" i="10"/>
  <c r="H144" i="10"/>
  <c r="H156" i="10"/>
  <c r="H168" i="10"/>
  <c r="H180" i="10"/>
  <c r="H192" i="10"/>
  <c r="H204" i="10"/>
  <c r="H216" i="10"/>
  <c r="H14" i="14"/>
  <c r="H26" i="14"/>
  <c r="H38" i="14"/>
  <c r="H50" i="14"/>
  <c r="H62" i="14"/>
  <c r="H74" i="14"/>
  <c r="H86" i="14"/>
  <c r="H98" i="14"/>
  <c r="H110" i="14"/>
  <c r="H122" i="14"/>
  <c r="H134" i="14"/>
  <c r="H146" i="14"/>
  <c r="H158" i="14"/>
  <c r="H170" i="14"/>
  <c r="H182" i="14"/>
  <c r="H194" i="14"/>
  <c r="H206" i="14"/>
  <c r="H218" i="14"/>
  <c r="H13" i="10"/>
  <c r="H25" i="10"/>
  <c r="H37" i="10"/>
  <c r="H49" i="10"/>
  <c r="H61" i="10"/>
  <c r="H73" i="10"/>
  <c r="H85" i="10"/>
  <c r="H97" i="10"/>
  <c r="H109" i="10"/>
  <c r="H121" i="10"/>
  <c r="H133" i="10"/>
  <c r="H145" i="10"/>
  <c r="H157" i="10"/>
  <c r="H169" i="10"/>
  <c r="H181" i="10"/>
  <c r="H193" i="10"/>
  <c r="H205" i="10"/>
  <c r="H217" i="10"/>
  <c r="H15" i="14"/>
  <c r="H27" i="14"/>
  <c r="H39" i="14"/>
  <c r="H51" i="14"/>
  <c r="H63" i="14"/>
  <c r="H75" i="14"/>
  <c r="H87" i="14"/>
  <c r="H99" i="14"/>
  <c r="H111" i="14"/>
  <c r="H123" i="14"/>
  <c r="H135" i="14"/>
  <c r="H147" i="14"/>
  <c r="H159" i="14"/>
  <c r="H171" i="14"/>
  <c r="H183" i="14"/>
  <c r="H195" i="14"/>
  <c r="H207" i="14"/>
  <c r="H219" i="14"/>
  <c r="H132" i="14"/>
  <c r="H144" i="14"/>
  <c r="H12" i="14"/>
  <c r="H156" i="14"/>
  <c r="H24" i="14"/>
  <c r="H168" i="14"/>
  <c r="H34" i="10"/>
  <c r="H36" i="14"/>
  <c r="H180" i="14"/>
  <c r="H202" i="10"/>
  <c r="H48" i="14"/>
  <c r="H192" i="14"/>
  <c r="H60" i="14"/>
  <c r="H216" i="14"/>
  <c r="H214" i="10"/>
  <c r="H204" i="14"/>
  <c r="H5" i="10"/>
  <c r="H72" i="14"/>
  <c r="H84" i="14"/>
  <c r="H96" i="14"/>
  <c r="H108" i="14"/>
  <c r="H120" i="14"/>
  <c r="F9" i="10"/>
  <c r="F21" i="10"/>
  <c r="F33" i="10"/>
  <c r="F45" i="10"/>
  <c r="F57" i="10"/>
  <c r="F69" i="10"/>
  <c r="F81" i="10"/>
  <c r="F93" i="10"/>
  <c r="F105" i="10"/>
  <c r="F117" i="10"/>
  <c r="F129" i="10"/>
  <c r="F141" i="10"/>
  <c r="F153" i="10"/>
  <c r="F165" i="10"/>
  <c r="F177" i="10"/>
  <c r="F189" i="10"/>
  <c r="F201" i="10"/>
  <c r="F213" i="10"/>
  <c r="F225" i="10"/>
  <c r="F12" i="14"/>
  <c r="F24" i="14"/>
  <c r="F36" i="14"/>
  <c r="F48" i="14"/>
  <c r="F60" i="14"/>
  <c r="F72" i="14"/>
  <c r="F84" i="14"/>
  <c r="F96" i="14"/>
  <c r="F108" i="14"/>
  <c r="F120" i="14"/>
  <c r="F132" i="14"/>
  <c r="F144" i="14"/>
  <c r="F156" i="14"/>
  <c r="F168" i="14"/>
  <c r="F180" i="14"/>
  <c r="F192" i="14"/>
  <c r="F204" i="14"/>
  <c r="F216" i="14"/>
  <c r="F10" i="10"/>
  <c r="F22" i="10"/>
  <c r="F34" i="10"/>
  <c r="F46" i="10"/>
  <c r="F58" i="10"/>
  <c r="F70" i="10"/>
  <c r="F82" i="10"/>
  <c r="F94" i="10"/>
  <c r="F106" i="10"/>
  <c r="F118" i="10"/>
  <c r="F130" i="10"/>
  <c r="F142" i="10"/>
  <c r="F154" i="10"/>
  <c r="F166" i="10"/>
  <c r="F178" i="10"/>
  <c r="F190" i="10"/>
  <c r="F202" i="10"/>
  <c r="F214" i="10"/>
  <c r="F5" i="10"/>
  <c r="F13" i="14"/>
  <c r="F25" i="14"/>
  <c r="F37" i="14"/>
  <c r="F49" i="14"/>
  <c r="F61" i="14"/>
  <c r="F73" i="14"/>
  <c r="F85" i="14"/>
  <c r="F97" i="14"/>
  <c r="F109" i="14"/>
  <c r="F121" i="14"/>
  <c r="F133" i="14"/>
  <c r="F145" i="14"/>
  <c r="F157" i="14"/>
  <c r="F169" i="14"/>
  <c r="F181" i="14"/>
  <c r="F193" i="14"/>
  <c r="F205" i="14"/>
  <c r="F217" i="14"/>
  <c r="F11" i="10"/>
  <c r="F23" i="10"/>
  <c r="F35" i="10"/>
  <c r="F47" i="10"/>
  <c r="F59" i="10"/>
  <c r="F71" i="10"/>
  <c r="F83" i="10"/>
  <c r="F95" i="10"/>
  <c r="F107" i="10"/>
  <c r="F119" i="10"/>
  <c r="F131" i="10"/>
  <c r="F143" i="10"/>
  <c r="F155" i="10"/>
  <c r="F167" i="10"/>
  <c r="F179" i="10"/>
  <c r="F191" i="10"/>
  <c r="F203" i="10"/>
  <c r="F215" i="10"/>
  <c r="F14" i="14"/>
  <c r="F26" i="14"/>
  <c r="F38" i="14"/>
  <c r="F50" i="14"/>
  <c r="F62" i="14"/>
  <c r="F74" i="14"/>
  <c r="F86" i="14"/>
  <c r="F98" i="14"/>
  <c r="F110" i="14"/>
  <c r="F122" i="14"/>
  <c r="F134" i="14"/>
  <c r="F146" i="14"/>
  <c r="F158" i="14"/>
  <c r="F170" i="14"/>
  <c r="F182" i="14"/>
  <c r="F194" i="14"/>
  <c r="F206" i="14"/>
  <c r="F218" i="14"/>
  <c r="F12" i="10"/>
  <c r="F24" i="10"/>
  <c r="F36" i="10"/>
  <c r="F48" i="10"/>
  <c r="F60" i="10"/>
  <c r="F72" i="10"/>
  <c r="F84" i="10"/>
  <c r="F96" i="10"/>
  <c r="F108" i="10"/>
  <c r="F120" i="10"/>
  <c r="F132" i="10"/>
  <c r="F144" i="10"/>
  <c r="F156" i="10"/>
  <c r="F168" i="10"/>
  <c r="F180" i="10"/>
  <c r="F192" i="10"/>
  <c r="F204" i="10"/>
  <c r="F216" i="10"/>
  <c r="F15" i="14"/>
  <c r="F27" i="14"/>
  <c r="F39" i="14"/>
  <c r="F51" i="14"/>
  <c r="F63" i="14"/>
  <c r="F75" i="14"/>
  <c r="F87" i="14"/>
  <c r="F99" i="14"/>
  <c r="F111" i="14"/>
  <c r="F123" i="14"/>
  <c r="F135" i="14"/>
  <c r="F147" i="14"/>
  <c r="F159" i="14"/>
  <c r="F171" i="14"/>
  <c r="F183" i="14"/>
  <c r="F195" i="14"/>
  <c r="F207" i="14"/>
  <c r="F219" i="14"/>
  <c r="F13" i="10"/>
  <c r="F25" i="10"/>
  <c r="F37" i="10"/>
  <c r="F49" i="10"/>
  <c r="F61" i="10"/>
  <c r="F73" i="10"/>
  <c r="F85" i="10"/>
  <c r="F97" i="10"/>
  <c r="F109" i="10"/>
  <c r="F121" i="10"/>
  <c r="F133" i="10"/>
  <c r="F145" i="10"/>
  <c r="F157" i="10"/>
  <c r="F169" i="10"/>
  <c r="F181" i="10"/>
  <c r="F193" i="10"/>
  <c r="F205" i="10"/>
  <c r="F217" i="10"/>
  <c r="F16" i="14"/>
  <c r="F28" i="14"/>
  <c r="F40" i="14"/>
  <c r="F52" i="14"/>
  <c r="F64" i="14"/>
  <c r="F76" i="14"/>
  <c r="F88" i="14"/>
  <c r="F100" i="14"/>
  <c r="F112" i="14"/>
  <c r="F124" i="14"/>
  <c r="F136" i="14"/>
  <c r="F148" i="14"/>
  <c r="F160" i="14"/>
  <c r="F172" i="14"/>
  <c r="F184" i="14"/>
  <c r="F196" i="14"/>
  <c r="F208" i="14"/>
  <c r="F220" i="14"/>
  <c r="F14" i="10"/>
  <c r="F26" i="10"/>
  <c r="F38" i="10"/>
  <c r="F50" i="10"/>
  <c r="F62" i="10"/>
  <c r="F74" i="10"/>
  <c r="F86" i="10"/>
  <c r="F98" i="10"/>
  <c r="F110" i="10"/>
  <c r="F122" i="10"/>
  <c r="F134" i="10"/>
  <c r="F146" i="10"/>
  <c r="F158" i="10"/>
  <c r="F170" i="10"/>
  <c r="F182" i="10"/>
  <c r="F194" i="10"/>
  <c r="F206" i="10"/>
  <c r="F218" i="10"/>
  <c r="F17" i="14"/>
  <c r="F29" i="14"/>
  <c r="F41" i="14"/>
  <c r="F53" i="14"/>
  <c r="F65" i="14"/>
  <c r="F77" i="14"/>
  <c r="F89" i="14"/>
  <c r="F101" i="14"/>
  <c r="F113" i="14"/>
  <c r="F125" i="14"/>
  <c r="F137" i="14"/>
  <c r="F149" i="14"/>
  <c r="F161" i="14"/>
  <c r="F173" i="14"/>
  <c r="F185" i="14"/>
  <c r="F197" i="14"/>
  <c r="F209" i="14"/>
  <c r="F221" i="14"/>
  <c r="F198" i="14"/>
  <c r="F210" i="14"/>
  <c r="F222" i="14"/>
  <c r="F15" i="10"/>
  <c r="F27" i="10"/>
  <c r="F39" i="10"/>
  <c r="F51" i="10"/>
  <c r="F63" i="10"/>
  <c r="F75" i="10"/>
  <c r="F87" i="10"/>
  <c r="F99" i="10"/>
  <c r="F111" i="10"/>
  <c r="F123" i="10"/>
  <c r="F135" i="10"/>
  <c r="F147" i="10"/>
  <c r="F159" i="10"/>
  <c r="F171" i="10"/>
  <c r="F183" i="10"/>
  <c r="F195" i="10"/>
  <c r="F207" i="10"/>
  <c r="F219" i="10"/>
  <c r="F6" i="14"/>
  <c r="F18" i="14"/>
  <c r="F30" i="14"/>
  <c r="F42" i="14"/>
  <c r="F54" i="14"/>
  <c r="F66" i="14"/>
  <c r="F78" i="14"/>
  <c r="F90" i="14"/>
  <c r="F102" i="14"/>
  <c r="F114" i="14"/>
  <c r="F126" i="14"/>
  <c r="F138" i="14"/>
  <c r="F150" i="14"/>
  <c r="F162" i="14"/>
  <c r="F174" i="14"/>
  <c r="F186" i="14"/>
  <c r="F16" i="10"/>
  <c r="F28" i="10"/>
  <c r="F40" i="10"/>
  <c r="F52" i="10"/>
  <c r="F64" i="10"/>
  <c r="F76" i="10"/>
  <c r="F88" i="10"/>
  <c r="F100" i="10"/>
  <c r="F112" i="10"/>
  <c r="F124" i="10"/>
  <c r="F136" i="10"/>
  <c r="F148" i="10"/>
  <c r="F160" i="10"/>
  <c r="F172" i="10"/>
  <c r="F184" i="10"/>
  <c r="F196" i="10"/>
  <c r="F208" i="10"/>
  <c r="F220" i="10"/>
  <c r="F7" i="14"/>
  <c r="F19" i="14"/>
  <c r="F31" i="14"/>
  <c r="F43" i="14"/>
  <c r="F55" i="14"/>
  <c r="F67" i="14"/>
  <c r="F79" i="14"/>
  <c r="F91" i="14"/>
  <c r="F103" i="14"/>
  <c r="F115" i="14"/>
  <c r="F127" i="14"/>
  <c r="F139" i="14"/>
  <c r="F151" i="14"/>
  <c r="F163" i="14"/>
  <c r="F175" i="14"/>
  <c r="F187" i="14"/>
  <c r="F199" i="14"/>
  <c r="F211" i="14"/>
  <c r="F223" i="14"/>
  <c r="F6" i="10"/>
  <c r="F18" i="10"/>
  <c r="F30" i="10"/>
  <c r="F42" i="10"/>
  <c r="F54" i="10"/>
  <c r="F66" i="10"/>
  <c r="F78" i="10"/>
  <c r="F90" i="10"/>
  <c r="F102" i="10"/>
  <c r="F114" i="10"/>
  <c r="F126" i="10"/>
  <c r="F138" i="10"/>
  <c r="F150" i="10"/>
  <c r="F162" i="10"/>
  <c r="F174" i="10"/>
  <c r="F186" i="10"/>
  <c r="F198" i="10"/>
  <c r="F210" i="10"/>
  <c r="F222" i="10"/>
  <c r="F9" i="14"/>
  <c r="F21" i="14"/>
  <c r="F33" i="14"/>
  <c r="F45" i="14"/>
  <c r="F57" i="14"/>
  <c r="F69" i="14"/>
  <c r="F81" i="14"/>
  <c r="F93" i="14"/>
  <c r="F105" i="14"/>
  <c r="F117" i="14"/>
  <c r="F129" i="14"/>
  <c r="F141" i="14"/>
  <c r="F153" i="14"/>
  <c r="F165" i="14"/>
  <c r="F177" i="14"/>
  <c r="F189" i="14"/>
  <c r="F201" i="14"/>
  <c r="F213" i="14"/>
  <c r="F5" i="14"/>
  <c r="F7" i="10"/>
  <c r="F19" i="10"/>
  <c r="F31" i="10"/>
  <c r="F43" i="10"/>
  <c r="F55" i="10"/>
  <c r="F67" i="10"/>
  <c r="F79" i="10"/>
  <c r="F91" i="10"/>
  <c r="F103" i="10"/>
  <c r="F115" i="10"/>
  <c r="F127" i="10"/>
  <c r="F139" i="10"/>
  <c r="F151" i="10"/>
  <c r="F163" i="10"/>
  <c r="F175" i="10"/>
  <c r="F187" i="10"/>
  <c r="F199" i="10"/>
  <c r="F211" i="10"/>
  <c r="F223" i="10"/>
  <c r="F10" i="14"/>
  <c r="F22" i="14"/>
  <c r="F34" i="14"/>
  <c r="F46" i="14"/>
  <c r="F58" i="14"/>
  <c r="F70" i="14"/>
  <c r="F82" i="14"/>
  <c r="F94" i="14"/>
  <c r="F106" i="14"/>
  <c r="F118" i="14"/>
  <c r="F130" i="14"/>
  <c r="F142" i="14"/>
  <c r="F154" i="14"/>
  <c r="F166" i="14"/>
  <c r="F178" i="14"/>
  <c r="F190" i="14"/>
  <c r="F202" i="14"/>
  <c r="F214" i="14"/>
  <c r="F8" i="10"/>
  <c r="F20" i="10"/>
  <c r="F32" i="10"/>
  <c r="F44" i="10"/>
  <c r="F56" i="10"/>
  <c r="F68" i="10"/>
  <c r="F80" i="10"/>
  <c r="F92" i="10"/>
  <c r="F104" i="10"/>
  <c r="F116" i="10"/>
  <c r="F128" i="10"/>
  <c r="F140" i="10"/>
  <c r="F152" i="10"/>
  <c r="F164" i="10"/>
  <c r="F176" i="10"/>
  <c r="F188" i="10"/>
  <c r="F200" i="10"/>
  <c r="F212" i="10"/>
  <c r="F224" i="10"/>
  <c r="F11" i="14"/>
  <c r="F23" i="14"/>
  <c r="F35" i="14"/>
  <c r="F47" i="14"/>
  <c r="F59" i="14"/>
  <c r="F71" i="14"/>
  <c r="F83" i="14"/>
  <c r="F95" i="14"/>
  <c r="F107" i="14"/>
  <c r="F119" i="14"/>
  <c r="F131" i="14"/>
  <c r="F143" i="14"/>
  <c r="F155" i="14"/>
  <c r="F167" i="14"/>
  <c r="F179" i="14"/>
  <c r="F191" i="14"/>
  <c r="F203" i="14"/>
  <c r="F215" i="14"/>
  <c r="F65" i="10"/>
  <c r="F209" i="10"/>
  <c r="F56" i="14"/>
  <c r="F200" i="14"/>
  <c r="F77" i="10"/>
  <c r="F221" i="10"/>
  <c r="F68" i="14"/>
  <c r="F212" i="14"/>
  <c r="F89" i="10"/>
  <c r="F80" i="14"/>
  <c r="F224" i="14"/>
  <c r="F101" i="10"/>
  <c r="F92" i="14"/>
  <c r="F113" i="10"/>
  <c r="F137" i="10"/>
  <c r="F104" i="14"/>
  <c r="F125" i="10"/>
  <c r="F116" i="14"/>
  <c r="F128" i="14"/>
  <c r="F149" i="10"/>
  <c r="F140" i="14"/>
  <c r="F17" i="10"/>
  <c r="F161" i="10"/>
  <c r="F8" i="14"/>
  <c r="F152" i="14"/>
  <c r="F29" i="10"/>
  <c r="F173" i="10"/>
  <c r="F20" i="14"/>
  <c r="F164" i="14"/>
  <c r="F41" i="10"/>
  <c r="F185" i="10"/>
  <c r="F32" i="14"/>
  <c r="F176" i="14"/>
  <c r="F53" i="10"/>
  <c r="F197" i="10"/>
  <c r="F44" i="14"/>
  <c r="F188" i="14"/>
  <c r="F225" i="14"/>
  <c r="I5" i="14" l="1"/>
  <c r="V5" i="14" s="1"/>
  <c r="I98" i="10"/>
  <c r="U98" i="10" s="1"/>
  <c r="I175" i="10"/>
  <c r="U175" i="10" s="1"/>
  <c r="I41" i="10"/>
  <c r="U41" i="10" s="1"/>
  <c r="I176" i="10"/>
  <c r="U176" i="10" s="1"/>
  <c r="I38" i="10"/>
  <c r="U38" i="10" s="1"/>
  <c r="I22" i="14"/>
  <c r="V22" i="14" s="1"/>
  <c r="I80" i="10"/>
  <c r="U80" i="10" s="1"/>
  <c r="I206" i="14"/>
  <c r="V206" i="14" s="1"/>
  <c r="I33" i="10"/>
  <c r="U33" i="10" s="1"/>
  <c r="I205" i="10"/>
  <c r="U205" i="10" s="1"/>
  <c r="I150" i="10"/>
  <c r="U150" i="10" s="1"/>
  <c r="I191" i="14"/>
  <c r="V191" i="14" s="1"/>
  <c r="I33" i="14"/>
  <c r="V33" i="14" s="1"/>
  <c r="I121" i="10"/>
  <c r="U121" i="10" s="1"/>
  <c r="I163" i="10"/>
  <c r="U163" i="10" s="1"/>
  <c r="I119" i="10"/>
  <c r="U119" i="10" s="1"/>
  <c r="I133" i="14"/>
  <c r="V133" i="14" s="1"/>
  <c r="I195" i="10"/>
  <c r="U195" i="10" s="1"/>
  <c r="I103" i="10"/>
  <c r="U103" i="10" s="1"/>
  <c r="I168" i="14"/>
  <c r="V168" i="14" s="1"/>
  <c r="I36" i="14"/>
  <c r="V36" i="14" s="1"/>
  <c r="I106" i="10"/>
  <c r="U106" i="10" s="1"/>
  <c r="I123" i="10"/>
  <c r="U123" i="10" s="1"/>
  <c r="I61" i="14"/>
  <c r="V61" i="14" s="1"/>
  <c r="I60" i="10"/>
  <c r="U60" i="10" s="1"/>
  <c r="I192" i="14"/>
  <c r="V192" i="14" s="1"/>
  <c r="I32" i="10"/>
  <c r="U32" i="10" s="1"/>
  <c r="I55" i="10"/>
  <c r="U55" i="10" s="1"/>
  <c r="I177" i="14"/>
  <c r="V177" i="14" s="1"/>
  <c r="I71" i="14"/>
  <c r="V71" i="14" s="1"/>
  <c r="I208" i="10"/>
  <c r="U208" i="10" s="1"/>
  <c r="I139" i="10"/>
  <c r="U139" i="10" s="1"/>
  <c r="I182" i="14"/>
  <c r="V182" i="14" s="1"/>
  <c r="I110" i="14"/>
  <c r="V110" i="14" s="1"/>
  <c r="I75" i="10"/>
  <c r="U75" i="10" s="1"/>
  <c r="I156" i="10"/>
  <c r="U156" i="10" s="1"/>
  <c r="I86" i="14"/>
  <c r="V86" i="14" s="1"/>
  <c r="I180" i="10"/>
  <c r="U180" i="10" s="1"/>
  <c r="I54" i="14"/>
  <c r="V54" i="14" s="1"/>
  <c r="I53" i="14"/>
  <c r="V53" i="14" s="1"/>
  <c r="I85" i="10"/>
  <c r="U85" i="10" s="1"/>
  <c r="I207" i="14"/>
  <c r="V207" i="14" s="1"/>
  <c r="I177" i="10"/>
  <c r="U177" i="10" s="1"/>
  <c r="I173" i="10"/>
  <c r="U173" i="10" s="1"/>
  <c r="I142" i="10"/>
  <c r="U142" i="10" s="1"/>
  <c r="I75" i="14"/>
  <c r="V75" i="14" s="1"/>
  <c r="I183" i="14"/>
  <c r="V183" i="14" s="1"/>
  <c r="I36" i="10"/>
  <c r="U36" i="10" s="1"/>
  <c r="I117" i="14"/>
  <c r="V117" i="14" s="1"/>
  <c r="I16" i="14"/>
  <c r="V16" i="14" s="1"/>
  <c r="I191" i="10"/>
  <c r="U191" i="10" s="1"/>
  <c r="I92" i="14"/>
  <c r="V92" i="14" s="1"/>
  <c r="I66" i="14"/>
  <c r="V66" i="14" s="1"/>
  <c r="I164" i="14"/>
  <c r="V164" i="14" s="1"/>
  <c r="I212" i="14"/>
  <c r="V212" i="14" s="1"/>
  <c r="I118" i="10"/>
  <c r="U118" i="10" s="1"/>
  <c r="I157" i="14"/>
  <c r="V157" i="14" s="1"/>
  <c r="I167" i="14"/>
  <c r="V167" i="14" s="1"/>
  <c r="I138" i="10"/>
  <c r="U138" i="10" s="1"/>
  <c r="I106" i="14"/>
  <c r="V106" i="14" s="1"/>
  <c r="I76" i="10"/>
  <c r="U76" i="10" s="1"/>
  <c r="I169" i="14"/>
  <c r="V169" i="14" s="1"/>
  <c r="I159" i="10"/>
  <c r="U159" i="10" s="1"/>
  <c r="I157" i="10"/>
  <c r="U157" i="10" s="1"/>
  <c r="I143" i="10"/>
  <c r="U143" i="10" s="1"/>
  <c r="I43" i="10"/>
  <c r="U43" i="10" s="1"/>
  <c r="I14" i="14"/>
  <c r="V14" i="14" s="1"/>
  <c r="I9" i="10"/>
  <c r="U9" i="10" s="1"/>
  <c r="I161" i="10"/>
  <c r="U161" i="10" s="1"/>
  <c r="I34" i="14"/>
  <c r="V34" i="14" s="1"/>
  <c r="I160" i="14"/>
  <c r="V160" i="14" s="1"/>
  <c r="I187" i="10"/>
  <c r="U187" i="10" s="1"/>
  <c r="I219" i="10"/>
  <c r="U219" i="10" s="1"/>
  <c r="I116" i="10"/>
  <c r="U116" i="10" s="1"/>
  <c r="I79" i="14"/>
  <c r="V79" i="14" s="1"/>
  <c r="I205" i="14"/>
  <c r="V205" i="14" s="1"/>
  <c r="I96" i="10"/>
  <c r="U96" i="10" s="1"/>
  <c r="I213" i="14"/>
  <c r="V213" i="14" s="1"/>
  <c r="I62" i="10"/>
  <c r="U62" i="10" s="1"/>
  <c r="I111" i="14"/>
  <c r="V111" i="14" s="1"/>
  <c r="I212" i="10"/>
  <c r="U212" i="10" s="1"/>
  <c r="I190" i="14"/>
  <c r="V190" i="14" s="1"/>
  <c r="I26" i="14"/>
  <c r="V26" i="14" s="1"/>
  <c r="I74" i="10"/>
  <c r="U74" i="10" s="1"/>
  <c r="I21" i="14"/>
  <c r="V21" i="14" s="1"/>
  <c r="I185" i="14"/>
  <c r="V185" i="14" s="1"/>
  <c r="I31" i="10"/>
  <c r="U31" i="10" s="1"/>
  <c r="I199" i="14"/>
  <c r="V199" i="14" s="1"/>
  <c r="I217" i="10"/>
  <c r="U217" i="10" s="1"/>
  <c r="I81" i="10"/>
  <c r="U81" i="10" s="1"/>
  <c r="I24" i="14"/>
  <c r="V24" i="14" s="1"/>
  <c r="I189" i="14"/>
  <c r="V189" i="14" s="1"/>
  <c r="I87" i="14"/>
  <c r="V87" i="14" s="1"/>
  <c r="I72" i="14"/>
  <c r="V72" i="14" s="1"/>
  <c r="I54" i="10"/>
  <c r="U54" i="10" s="1"/>
  <c r="I37" i="14"/>
  <c r="V37" i="14" s="1"/>
  <c r="I96" i="14"/>
  <c r="V96" i="14" s="1"/>
  <c r="I12" i="14"/>
  <c r="V12" i="14" s="1"/>
  <c r="I9" i="14"/>
  <c r="V9" i="14" s="1"/>
  <c r="I74" i="14"/>
  <c r="V74" i="14" s="1"/>
  <c r="I93" i="14"/>
  <c r="V93" i="14" s="1"/>
  <c r="I63" i="10"/>
  <c r="U63" i="10" s="1"/>
  <c r="I137" i="14"/>
  <c r="V137" i="14" s="1"/>
  <c r="I173" i="14"/>
  <c r="V173" i="14" s="1"/>
  <c r="I150" i="14"/>
  <c r="V150" i="14" s="1"/>
  <c r="I118" i="14"/>
  <c r="V118" i="14" s="1"/>
  <c r="I221" i="10"/>
  <c r="U221" i="10" s="1"/>
  <c r="I149" i="14"/>
  <c r="V149" i="14" s="1"/>
  <c r="I90" i="14"/>
  <c r="V90" i="14" s="1"/>
  <c r="I188" i="14"/>
  <c r="V188" i="14" s="1"/>
  <c r="I30" i="14"/>
  <c r="V30" i="14" s="1"/>
  <c r="I13" i="10"/>
  <c r="U13" i="10" s="1"/>
  <c r="I50" i="10"/>
  <c r="U50" i="10" s="1"/>
  <c r="I196" i="10"/>
  <c r="U196" i="10" s="1"/>
  <c r="I85" i="14"/>
  <c r="V85" i="14" s="1"/>
  <c r="I124" i="10"/>
  <c r="U124" i="10" s="1"/>
  <c r="I27" i="10"/>
  <c r="U27" i="10" s="1"/>
  <c r="I171" i="14"/>
  <c r="V171" i="14" s="1"/>
  <c r="I126" i="14"/>
  <c r="V126" i="14" s="1"/>
  <c r="I132" i="14"/>
  <c r="V132" i="14" s="1"/>
  <c r="I135" i="14"/>
  <c r="V135" i="14" s="1"/>
  <c r="I145" i="14"/>
  <c r="V145" i="14" s="1"/>
  <c r="I130" i="14"/>
  <c r="V130" i="14" s="1"/>
  <c r="I122" i="10"/>
  <c r="U122" i="10" s="1"/>
  <c r="I45" i="10"/>
  <c r="U45" i="10" s="1"/>
  <c r="I216" i="10"/>
  <c r="U216" i="10" s="1"/>
  <c r="H225" i="14"/>
  <c r="I91" i="10"/>
  <c r="U91" i="10" s="1"/>
  <c r="I186" i="14"/>
  <c r="V186" i="14" s="1"/>
  <c r="I88" i="10"/>
  <c r="U88" i="10" s="1"/>
  <c r="I60" i="14"/>
  <c r="V60" i="14" s="1"/>
  <c r="I138" i="14"/>
  <c r="V138" i="14" s="1"/>
  <c r="I100" i="14"/>
  <c r="V100" i="14" s="1"/>
  <c r="I26" i="10"/>
  <c r="U26" i="10" s="1"/>
  <c r="I42" i="10"/>
  <c r="U42" i="10" s="1"/>
  <c r="I80" i="14"/>
  <c r="V80" i="14" s="1"/>
  <c r="I171" i="10"/>
  <c r="U171" i="10" s="1"/>
  <c r="I43" i="14"/>
  <c r="V43" i="14" s="1"/>
  <c r="I112" i="10"/>
  <c r="U112" i="10" s="1"/>
  <c r="I207" i="10"/>
  <c r="U207" i="10" s="1"/>
  <c r="I211" i="10"/>
  <c r="U211" i="10" s="1"/>
  <c r="I25" i="14"/>
  <c r="V25" i="14" s="1"/>
  <c r="I24" i="10"/>
  <c r="U24" i="10" s="1"/>
  <c r="I59" i="14"/>
  <c r="V59" i="14" s="1"/>
  <c r="I120" i="14"/>
  <c r="V120" i="14" s="1"/>
  <c r="I38" i="14"/>
  <c r="V38" i="14" s="1"/>
  <c r="I15" i="10"/>
  <c r="U15" i="10" s="1"/>
  <c r="I184" i="10"/>
  <c r="U184" i="10" s="1"/>
  <c r="I18" i="14"/>
  <c r="V18" i="14" s="1"/>
  <c r="I144" i="14"/>
  <c r="V144" i="14" s="1"/>
  <c r="I182" i="10"/>
  <c r="U182" i="10" s="1"/>
  <c r="I79" i="10"/>
  <c r="U79" i="10" s="1"/>
  <c r="I17" i="10"/>
  <c r="U17" i="10" s="1"/>
  <c r="I19" i="14"/>
  <c r="V19" i="14" s="1"/>
  <c r="I214" i="14"/>
  <c r="V214" i="14" s="1"/>
  <c r="I51" i="14"/>
  <c r="V51" i="14" s="1"/>
  <c r="I58" i="14"/>
  <c r="V58" i="14" s="1"/>
  <c r="I129" i="14"/>
  <c r="V129" i="14" s="1"/>
  <c r="I81" i="14"/>
  <c r="V81" i="14" s="1"/>
  <c r="I186" i="10"/>
  <c r="U186" i="10" s="1"/>
  <c r="I112" i="14"/>
  <c r="V112" i="14" s="1"/>
  <c r="I198" i="10"/>
  <c r="U198" i="10" s="1"/>
  <c r="I109" i="10"/>
  <c r="U109" i="10" s="1"/>
  <c r="I151" i="14"/>
  <c r="V151" i="14" s="1"/>
  <c r="I190" i="10"/>
  <c r="U190" i="10" s="1"/>
  <c r="I141" i="10"/>
  <c r="U141" i="10" s="1"/>
  <c r="I142" i="14"/>
  <c r="V142" i="14" s="1"/>
  <c r="I216" i="14"/>
  <c r="V216" i="14" s="1"/>
  <c r="I119" i="14"/>
  <c r="V119" i="14" s="1"/>
  <c r="I28" i="14"/>
  <c r="V28" i="14" s="1"/>
  <c r="I10" i="10"/>
  <c r="U10" i="10" s="1"/>
  <c r="I218" i="10"/>
  <c r="U218" i="10" s="1"/>
  <c r="I72" i="10"/>
  <c r="U72" i="10" s="1"/>
  <c r="I65" i="10"/>
  <c r="U65" i="10" s="1"/>
  <c r="I101" i="10"/>
  <c r="U101" i="10" s="1"/>
  <c r="I108" i="14"/>
  <c r="V108" i="14" s="1"/>
  <c r="I206" i="10"/>
  <c r="U206" i="10" s="1"/>
  <c r="I165" i="10"/>
  <c r="U165" i="10" s="1"/>
  <c r="I213" i="10"/>
  <c r="U213" i="10" s="1"/>
  <c r="I193" i="14"/>
  <c r="V193" i="14" s="1"/>
  <c r="I103" i="14"/>
  <c r="V103" i="14" s="1"/>
  <c r="I122" i="14"/>
  <c r="V122" i="14" s="1"/>
  <c r="I155" i="14"/>
  <c r="V155" i="14" s="1"/>
  <c r="I185" i="10"/>
  <c r="U185" i="10" s="1"/>
  <c r="I110" i="10"/>
  <c r="U110" i="10" s="1"/>
  <c r="I70" i="10"/>
  <c r="U70" i="10" s="1"/>
  <c r="I196" i="14"/>
  <c r="V196" i="14" s="1"/>
  <c r="I104" i="10"/>
  <c r="U104" i="10" s="1"/>
  <c r="I107" i="10"/>
  <c r="U107" i="10" s="1"/>
  <c r="I189" i="10"/>
  <c r="U189" i="10" s="1"/>
  <c r="I209" i="14"/>
  <c r="V209" i="14" s="1"/>
  <c r="I178" i="14"/>
  <c r="V178" i="14" s="1"/>
  <c r="I29" i="10"/>
  <c r="U29" i="10" s="1"/>
  <c r="I197" i="14"/>
  <c r="V197" i="14" s="1"/>
  <c r="I209" i="10"/>
  <c r="U209" i="10" s="1"/>
  <c r="I179" i="14"/>
  <c r="V179" i="14" s="1"/>
  <c r="I94" i="14"/>
  <c r="V94" i="14" s="1"/>
  <c r="I99" i="14"/>
  <c r="V99" i="14" s="1"/>
  <c r="I11" i="10"/>
  <c r="U11" i="10" s="1"/>
  <c r="I27" i="14"/>
  <c r="V27" i="14" s="1"/>
  <c r="I124" i="14"/>
  <c r="V124" i="14" s="1"/>
  <c r="I68" i="10"/>
  <c r="U68" i="10" s="1"/>
  <c r="I78" i="14"/>
  <c r="V78" i="14" s="1"/>
  <c r="I10" i="14"/>
  <c r="V10" i="14" s="1"/>
  <c r="I13" i="14"/>
  <c r="V13" i="14" s="1"/>
  <c r="I86" i="10"/>
  <c r="U86" i="10" s="1"/>
  <c r="I222" i="14"/>
  <c r="V222" i="14" s="1"/>
  <c r="I12" i="10"/>
  <c r="U12" i="10" s="1"/>
  <c r="I163" i="14"/>
  <c r="V163" i="14" s="1"/>
  <c r="I5" i="10"/>
  <c r="U5" i="10" s="1"/>
  <c r="I153" i="14"/>
  <c r="V153" i="14" s="1"/>
  <c r="I183" i="10"/>
  <c r="U183" i="10" s="1"/>
  <c r="I172" i="14"/>
  <c r="V172" i="14" s="1"/>
  <c r="I35" i="14"/>
  <c r="V35" i="14" s="1"/>
  <c r="I166" i="10"/>
  <c r="U166" i="10" s="1"/>
  <c r="I210" i="14"/>
  <c r="V210" i="14" s="1"/>
  <c r="I59" i="10"/>
  <c r="U59" i="10" s="1"/>
  <c r="I51" i="10"/>
  <c r="U51" i="10" s="1"/>
  <c r="I111" i="10"/>
  <c r="U111" i="10" s="1"/>
  <c r="I68" i="14"/>
  <c r="V68" i="14" s="1"/>
  <c r="I127" i="10"/>
  <c r="U127" i="10" s="1"/>
  <c r="I198" i="14"/>
  <c r="V198" i="14" s="1"/>
  <c r="I61" i="10"/>
  <c r="U61" i="10" s="1"/>
  <c r="I167" i="10"/>
  <c r="U167" i="10" s="1"/>
  <c r="I115" i="10"/>
  <c r="U115" i="10" s="1"/>
  <c r="I174" i="14"/>
  <c r="V174" i="14" s="1"/>
  <c r="I219" i="14"/>
  <c r="V219" i="14" s="1"/>
  <c r="I120" i="10"/>
  <c r="U120" i="10" s="1"/>
  <c r="I128" i="10"/>
  <c r="U128" i="10" s="1"/>
  <c r="I104" i="14"/>
  <c r="V104" i="14" s="1"/>
  <c r="I7" i="10"/>
  <c r="U7" i="10" s="1"/>
  <c r="I145" i="10"/>
  <c r="U145" i="10" s="1"/>
  <c r="I128" i="14"/>
  <c r="V128" i="14" s="1"/>
  <c r="I223" i="10"/>
  <c r="U223" i="10" s="1"/>
  <c r="I84" i="14"/>
  <c r="V84" i="14" s="1"/>
  <c r="I133" i="10"/>
  <c r="U133" i="10" s="1"/>
  <c r="I203" i="10"/>
  <c r="U203" i="10" s="1"/>
  <c r="I89" i="14"/>
  <c r="V89" i="14" s="1"/>
  <c r="I172" i="10"/>
  <c r="U172" i="10" s="1"/>
  <c r="I39" i="14"/>
  <c r="V39" i="14" s="1"/>
  <c r="I152" i="10"/>
  <c r="U152" i="10" s="1"/>
  <c r="I8" i="10"/>
  <c r="U8" i="10" s="1"/>
  <c r="I78" i="10"/>
  <c r="U78" i="10" s="1"/>
  <c r="I117" i="10"/>
  <c r="U117" i="10" s="1"/>
  <c r="I164" i="10"/>
  <c r="U164" i="10" s="1"/>
  <c r="I18" i="10"/>
  <c r="U18" i="10" s="1"/>
  <c r="I15" i="14"/>
  <c r="V15" i="14" s="1"/>
  <c r="I76" i="14"/>
  <c r="V76" i="14" s="1"/>
  <c r="I7" i="14"/>
  <c r="V7" i="14" s="1"/>
  <c r="I46" i="10"/>
  <c r="U46" i="10" s="1"/>
  <c r="I184" i="14"/>
  <c r="V184" i="14" s="1"/>
  <c r="I41" i="14"/>
  <c r="V41" i="14" s="1"/>
  <c r="I114" i="10"/>
  <c r="U114" i="10" s="1"/>
  <c r="I48" i="10"/>
  <c r="U48" i="10" s="1"/>
  <c r="I44" i="14"/>
  <c r="V44" i="14" s="1"/>
  <c r="I113" i="10"/>
  <c r="U113" i="10" s="1"/>
  <c r="I40" i="14"/>
  <c r="V40" i="14" s="1"/>
  <c r="I42" i="14"/>
  <c r="V42" i="14" s="1"/>
  <c r="I95" i="10"/>
  <c r="U95" i="10" s="1"/>
  <c r="I67" i="10"/>
  <c r="U67" i="10" s="1"/>
  <c r="I99" i="10"/>
  <c r="U99" i="10" s="1"/>
  <c r="I14" i="10"/>
  <c r="U14" i="10" s="1"/>
  <c r="I200" i="14"/>
  <c r="V200" i="14" s="1"/>
  <c r="I64" i="14"/>
  <c r="V64" i="14" s="1"/>
  <c r="I113" i="14"/>
  <c r="V113" i="14" s="1"/>
  <c r="I149" i="10"/>
  <c r="U149" i="10" s="1"/>
  <c r="I98" i="14"/>
  <c r="V98" i="14" s="1"/>
  <c r="I148" i="10"/>
  <c r="U148" i="10" s="1"/>
  <c r="I201" i="10"/>
  <c r="U201" i="10" s="1"/>
  <c r="I90" i="10"/>
  <c r="U90" i="10" s="1"/>
  <c r="I154" i="10"/>
  <c r="U154" i="10" s="1"/>
  <c r="I155" i="10"/>
  <c r="U155" i="10" s="1"/>
  <c r="I69" i="14"/>
  <c r="V69" i="14" s="1"/>
  <c r="I62" i="14"/>
  <c r="V62" i="14" s="1"/>
  <c r="I136" i="14"/>
  <c r="V136" i="14" s="1"/>
  <c r="I220" i="10"/>
  <c r="U220" i="10" s="1"/>
  <c r="I100" i="10"/>
  <c r="U100" i="10" s="1"/>
  <c r="I131" i="10"/>
  <c r="U131" i="10" s="1"/>
  <c r="I140" i="14"/>
  <c r="V140" i="14" s="1"/>
  <c r="I181" i="14"/>
  <c r="V181" i="14" s="1"/>
  <c r="I166" i="14"/>
  <c r="V166" i="14" s="1"/>
  <c r="I31" i="14"/>
  <c r="V31" i="14" s="1"/>
  <c r="I215" i="14"/>
  <c r="V215" i="14" s="1"/>
  <c r="I210" i="10"/>
  <c r="U210" i="10" s="1"/>
  <c r="I179" i="10"/>
  <c r="U179" i="10" s="1"/>
  <c r="I220" i="14"/>
  <c r="V220" i="14" s="1"/>
  <c r="I180" i="14"/>
  <c r="V180" i="14" s="1"/>
  <c r="I121" i="14"/>
  <c r="V121" i="14" s="1"/>
  <c r="I134" i="14"/>
  <c r="V134" i="14" s="1"/>
  <c r="I208" i="14"/>
  <c r="V208" i="14" s="1"/>
  <c r="I34" i="10"/>
  <c r="U34" i="10" s="1"/>
  <c r="I109" i="14"/>
  <c r="V109" i="14" s="1"/>
  <c r="I6" i="14"/>
  <c r="V6" i="14" s="1"/>
  <c r="I6" i="10"/>
  <c r="U6" i="10" s="1"/>
  <c r="I73" i="14"/>
  <c r="V73" i="14" s="1"/>
  <c r="I22" i="10"/>
  <c r="U22" i="10" s="1"/>
  <c r="I141" i="14"/>
  <c r="V141" i="14" s="1"/>
  <c r="I158" i="10"/>
  <c r="U158" i="10" s="1"/>
  <c r="I136" i="10"/>
  <c r="U136" i="10" s="1"/>
  <c r="I91" i="14"/>
  <c r="V91" i="14" s="1"/>
  <c r="I170" i="10"/>
  <c r="U170" i="10" s="1"/>
  <c r="I221" i="14"/>
  <c r="V221" i="14" s="1"/>
  <c r="I194" i="10"/>
  <c r="U194" i="10" s="1"/>
  <c r="I57" i="10"/>
  <c r="U57" i="10" s="1"/>
  <c r="I95" i="14"/>
  <c r="V95" i="14" s="1"/>
  <c r="I114" i="14"/>
  <c r="V114" i="14" s="1"/>
  <c r="I87" i="10"/>
  <c r="U87" i="10" s="1"/>
  <c r="I204" i="14"/>
  <c r="V204" i="14" s="1"/>
  <c r="I202" i="14"/>
  <c r="V202" i="14" s="1"/>
  <c r="I162" i="10"/>
  <c r="U162" i="10" s="1"/>
  <c r="I224" i="10"/>
  <c r="U224" i="10" s="1"/>
  <c r="I58" i="10"/>
  <c r="U58" i="10" s="1"/>
  <c r="I129" i="10"/>
  <c r="U129" i="10" s="1"/>
  <c r="I214" i="10"/>
  <c r="U214" i="10" s="1"/>
  <c r="I71" i="10"/>
  <c r="U71" i="10" s="1"/>
  <c r="I192" i="10"/>
  <c r="U192" i="10" s="1"/>
  <c r="I93" i="10"/>
  <c r="U93" i="10" s="1"/>
  <c r="I56" i="10"/>
  <c r="U56" i="10" s="1"/>
  <c r="I140" i="10"/>
  <c r="U140" i="10" s="1"/>
  <c r="I17" i="14"/>
  <c r="V17" i="14" s="1"/>
  <c r="I131" i="14"/>
  <c r="V131" i="14" s="1"/>
  <c r="I44" i="10"/>
  <c r="U44" i="10" s="1"/>
  <c r="I102" i="14"/>
  <c r="V102" i="14" s="1"/>
  <c r="I105" i="10"/>
  <c r="U105" i="10" s="1"/>
  <c r="I11" i="14"/>
  <c r="V11" i="14" s="1"/>
  <c r="I52" i="10"/>
  <c r="U52" i="10" s="1"/>
  <c r="I47" i="10"/>
  <c r="U47" i="10" s="1"/>
  <c r="I49" i="14"/>
  <c r="V49" i="14" s="1"/>
  <c r="I148" i="14"/>
  <c r="V148" i="14" s="1"/>
  <c r="I19" i="10"/>
  <c r="U19" i="10" s="1"/>
  <c r="I169" i="10"/>
  <c r="U169" i="10" s="1"/>
  <c r="I66" i="10"/>
  <c r="U66" i="10" s="1"/>
  <c r="I165" i="14"/>
  <c r="V165" i="14" s="1"/>
  <c r="I37" i="10"/>
  <c r="U37" i="10" s="1"/>
  <c r="I194" i="14"/>
  <c r="V194" i="14" s="1"/>
  <c r="I73" i="10"/>
  <c r="U73" i="10" s="1"/>
  <c r="I144" i="10"/>
  <c r="U144" i="10" s="1"/>
  <c r="I29" i="14"/>
  <c r="V29" i="14" s="1"/>
  <c r="I67" i="14"/>
  <c r="V67" i="14" s="1"/>
  <c r="I224" i="14"/>
  <c r="V224" i="14" s="1"/>
  <c r="I77" i="10"/>
  <c r="U77" i="10" s="1"/>
  <c r="I211" i="14"/>
  <c r="V211" i="14" s="1"/>
  <c r="I200" i="10"/>
  <c r="U200" i="10" s="1"/>
  <c r="I137" i="10"/>
  <c r="U137" i="10" s="1"/>
  <c r="I147" i="14"/>
  <c r="V147" i="14" s="1"/>
  <c r="I201" i="14"/>
  <c r="V201" i="14" s="1"/>
  <c r="I102" i="10"/>
  <c r="U102" i="10" s="1"/>
  <c r="I64" i="10"/>
  <c r="U64" i="10" s="1"/>
  <c r="I23" i="10"/>
  <c r="U23" i="10" s="1"/>
  <c r="I202" i="10"/>
  <c r="U202" i="10" s="1"/>
  <c r="I156" i="14"/>
  <c r="V156" i="14" s="1"/>
  <c r="I147" i="10"/>
  <c r="U147" i="10" s="1"/>
  <c r="I217" i="14"/>
  <c r="V217" i="14" s="1"/>
  <c r="I188" i="10"/>
  <c r="U188" i="10" s="1"/>
  <c r="I40" i="10"/>
  <c r="U40" i="10" s="1"/>
  <c r="I215" i="10"/>
  <c r="U215" i="10" s="1"/>
  <c r="I32" i="14"/>
  <c r="V32" i="14" s="1"/>
  <c r="I187" i="14"/>
  <c r="V187" i="14" s="1"/>
  <c r="I151" i="10"/>
  <c r="U151" i="10" s="1"/>
  <c r="I65" i="14"/>
  <c r="V65" i="14" s="1"/>
  <c r="I125" i="14"/>
  <c r="V125" i="14" s="1"/>
  <c r="I39" i="10"/>
  <c r="U39" i="10" s="1"/>
  <c r="I199" i="10"/>
  <c r="U199" i="10" s="1"/>
  <c r="I49" i="10"/>
  <c r="U49" i="10" s="1"/>
  <c r="I97" i="10"/>
  <c r="U97" i="10" s="1"/>
  <c r="I23" i="14"/>
  <c r="V23" i="14" s="1"/>
  <c r="I20" i="10"/>
  <c r="U20" i="10" s="1"/>
  <c r="I53" i="10"/>
  <c r="U53" i="10" s="1"/>
  <c r="I20" i="14"/>
  <c r="V20" i="14" s="1"/>
  <c r="I146" i="10"/>
  <c r="U146" i="10" s="1"/>
  <c r="I115" i="14"/>
  <c r="V115" i="14" s="1"/>
  <c r="I77" i="14"/>
  <c r="V77" i="14" s="1"/>
  <c r="I88" i="14"/>
  <c r="V88" i="14" s="1"/>
  <c r="I197" i="10"/>
  <c r="U197" i="10" s="1"/>
  <c r="I223" i="14"/>
  <c r="V223" i="14" s="1"/>
  <c r="I108" i="10"/>
  <c r="U108" i="10" s="1"/>
  <c r="I176" i="14"/>
  <c r="V176" i="14" s="1"/>
  <c r="I50" i="14"/>
  <c r="V50" i="14" s="1"/>
  <c r="I84" i="10"/>
  <c r="U84" i="10" s="1"/>
  <c r="I70" i="14"/>
  <c r="V70" i="14" s="1"/>
  <c r="I28" i="10"/>
  <c r="U28" i="10" s="1"/>
  <c r="I218" i="14"/>
  <c r="V218" i="14" s="1"/>
  <c r="I101" i="14"/>
  <c r="V101" i="14" s="1"/>
  <c r="I16" i="10"/>
  <c r="U16" i="10" s="1"/>
  <c r="I203" i="14"/>
  <c r="V203" i="14" s="1"/>
  <c r="I153" i="10"/>
  <c r="U153" i="10" s="1"/>
  <c r="I160" i="10"/>
  <c r="U160" i="10" s="1"/>
  <c r="I82" i="14"/>
  <c r="V82" i="14" s="1"/>
  <c r="I30" i="10"/>
  <c r="U30" i="10" s="1"/>
  <c r="I152" i="14"/>
  <c r="V152" i="14" s="1"/>
  <c r="I193" i="10"/>
  <c r="U193" i="10" s="1"/>
  <c r="I94" i="10"/>
  <c r="U94" i="10" s="1"/>
  <c r="I105" i="14"/>
  <c r="V105" i="14" s="1"/>
  <c r="I181" i="10"/>
  <c r="U181" i="10" s="1"/>
  <c r="I146" i="14"/>
  <c r="V146" i="14" s="1"/>
  <c r="I107" i="14"/>
  <c r="V107" i="14" s="1"/>
  <c r="I222" i="10"/>
  <c r="U222" i="10" s="1"/>
  <c r="I125" i="10"/>
  <c r="U125" i="10" s="1"/>
  <c r="I56" i="14"/>
  <c r="V56" i="14" s="1"/>
  <c r="I55" i="14"/>
  <c r="V55" i="14" s="1"/>
  <c r="I158" i="14"/>
  <c r="V158" i="14" s="1"/>
  <c r="I63" i="14"/>
  <c r="V63" i="14" s="1"/>
  <c r="I178" i="10"/>
  <c r="U178" i="10" s="1"/>
  <c r="I162" i="14"/>
  <c r="V162" i="14" s="1"/>
  <c r="I92" i="10"/>
  <c r="U92" i="10" s="1"/>
  <c r="I35" i="10"/>
  <c r="U35" i="10" s="1"/>
  <c r="I82" i="10"/>
  <c r="U82" i="10" s="1"/>
  <c r="I57" i="14"/>
  <c r="V57" i="14" s="1"/>
  <c r="I154" i="14"/>
  <c r="V154" i="14" s="1"/>
  <c r="I116" i="14"/>
  <c r="V116" i="14" s="1"/>
  <c r="I195" i="14"/>
  <c r="V195" i="14" s="1"/>
  <c r="I69" i="10"/>
  <c r="U69" i="10" s="1"/>
  <c r="I139" i="14"/>
  <c r="V139" i="14" s="1"/>
  <c r="I126" i="10"/>
  <c r="U126" i="10" s="1"/>
  <c r="I134" i="10"/>
  <c r="U134" i="10" s="1"/>
  <c r="I130" i="10"/>
  <c r="U130" i="10" s="1"/>
  <c r="I46" i="14"/>
  <c r="V46" i="14" s="1"/>
  <c r="I97" i="14"/>
  <c r="V97" i="14" s="1"/>
  <c r="I161" i="14"/>
  <c r="V161" i="14" s="1"/>
  <c r="I21" i="10"/>
  <c r="U21" i="10" s="1"/>
  <c r="I168" i="10"/>
  <c r="U168" i="10" s="1"/>
  <c r="I25" i="10"/>
  <c r="U25" i="10" s="1"/>
  <c r="I89" i="10"/>
  <c r="U89" i="10" s="1"/>
  <c r="I8" i="14"/>
  <c r="V8" i="14" s="1"/>
  <c r="I45" i="14"/>
  <c r="V45" i="14" s="1"/>
  <c r="I132" i="10"/>
  <c r="U132" i="10" s="1"/>
  <c r="I123" i="14"/>
  <c r="V123" i="14" s="1"/>
  <c r="I127" i="14"/>
  <c r="V127" i="14" s="1"/>
  <c r="I170" i="14"/>
  <c r="V170" i="14" s="1"/>
  <c r="I175" i="14"/>
  <c r="V175" i="14" s="1"/>
  <c r="I52" i="14"/>
  <c r="V52" i="14" s="1"/>
  <c r="I159" i="14" l="1"/>
  <c r="V159" i="14" s="1"/>
  <c r="I135" i="10"/>
  <c r="U135" i="10" s="1"/>
  <c r="I47" i="14"/>
  <c r="V47" i="14" s="1"/>
  <c r="I204" i="10"/>
  <c r="U204" i="10" s="1"/>
  <c r="I143" i="14"/>
  <c r="V143" i="14" s="1"/>
  <c r="I174" i="10"/>
  <c r="U174" i="10" s="1"/>
  <c r="I83" i="10"/>
  <c r="U83" i="10" s="1"/>
  <c r="I83" i="14"/>
  <c r="V83" i="14" s="1"/>
  <c r="I48" i="14"/>
  <c r="V48" i="14" s="1"/>
  <c r="V225" i="14" l="1"/>
  <c r="U22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tc={083D684B-E223-45B0-AB64-97864BE2A0E0}</author>
    <author>tc={5E28AE86-EE61-44B6-ADDD-2F9CCD1290A2}</author>
  </authors>
  <commentList>
    <comment ref="G3" authorId="0" shapeId="0" xr:uid="{083D684B-E223-45B0-AB64-97864BE2A0E0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Vurdere om det bør være en egen kolonne for dette i malen med tanke på utgifter og tilskudd som skal holdes utenfor.
Svar:
    Hvor bør denne være for å ikke påvirke rapporten? Hvordan ser rapporten ut?
</t>
      </text>
    </comment>
    <comment ref="L3" authorId="1" shapeId="0" xr:uid="{5E28AE86-EE61-44B6-ADDD-2F9CCD1290A2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Her må det vel ikke nødvendigvis være samme sum som i kolonne H. Kan det f.eks. tenkes at det er deler av lønnskostnad som skal holdes utenfor?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tc={AD1FEAD2-1582-4A6B-BE52-1758CA670B7E}</author>
    <author>tc={789D995A-76ED-46D3-BF47-647169B55091}</author>
  </authors>
  <commentList>
    <comment ref="B5" authorId="0" shapeId="0" xr:uid="{AD1FEAD2-1582-4A6B-BE52-1758CA670B7E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ta med sum- minus korreksjoner</t>
      </text>
    </comment>
    <comment ref="C13" authorId="1" shapeId="0" xr:uid="{789D995A-76ED-46D3-BF47-647169B55091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Ligger ikke dette også i 700-serien? 690 finner jeg ikke i kostraveilederen, men 600-serien er vel ikke refusjoner men salgsinntekter?
Svar:
    Art 690 er fordelte utgifter/ internsalg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<sst xmlns="http://schemas.openxmlformats.org/spreadsheetml/2006/main" count="6454" uniqueCount="1056">
  <si>
    <t>TILSKUDDSMAL PRIVATE BARNEHAGER  –  §19a Grunntilskudd · §19b Pensjonstilskudd · §19c Eiendomstilskudd  (fra 2027)</t>
  </si>
  <si>
    <t>▌ A. BASISINNSTILLINGER</t>
  </si>
  <si>
    <t>Kommunenummer</t>
  </si>
  <si>
    <t>Firesifret kommunenummer</t>
  </si>
  <si>
    <t>Tilskuddsår</t>
  </si>
  <si>
    <t>Året tilskuddet gjelder for</t>
  </si>
  <si>
    <t>År N-1 – siste årsmelding (7/12)</t>
  </si>
  <si>
    <t>BASIL-årsmelding N-1, vektes 7/12 i selvkost</t>
  </si>
  <si>
    <t>År N (5/12)</t>
  </si>
  <si>
    <t>BASIL-årsmelding N, vektes 5/12 i selvkost</t>
  </si>
  <si>
    <t>AGA-sats</t>
  </si>
  <si>
    <t>Hentes automatisk fra "arbeidsgiveravgift"*</t>
  </si>
  <si>
    <t>Må løses for de kommunene som har flere soner (gjeldende sats der barnehagen ligger)</t>
  </si>
  <si>
    <t>Administrasjonspåslag</t>
  </si>
  <si>
    <t>4,7 % av grunntilskudd jf. §19a og "forskrift"</t>
  </si>
  <si>
    <t>Deflator år 1</t>
  </si>
  <si>
    <r>
      <t>Kommuner som fastsetter egne satser, jf. § 1, skal indeksregulere satsgrunnlaget med kommunal deflator</t>
    </r>
    <r>
      <rPr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sz val="11"/>
        <color theme="1"/>
        <rFont val="Calibri"/>
        <family val="2"/>
        <scheme val="minor"/>
      </rPr>
      <t xml:space="preserve"> </t>
    </r>
  </si>
  <si>
    <t>Foreldrebetaling  (kr/år) makspris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</si>
  <si>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</si>
  <si>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</si>
  <si>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</si>
  <si>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</si>
  <si>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</si>
  <si>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</si>
  <si>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</si>
  <si>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</si>
  <si>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Sats A</t>
  </si>
  <si>
    <t>Sats B</t>
  </si>
  <si>
    <t>Sats C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</si>
  <si>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</si>
  <si>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</si>
  <si>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</si>
  <si>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 xml:space="preserve">Nasjonal sats. 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</si>
  <si>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</si>
  <si>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hent kolonnen for samlede lønnskostnader per barnehage (org.nr). Del på årsverker fra årsmelding (kolonne FE i BASIL-rådata) for å få lønn per årsverk.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</si>
  <si>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</si>
  <si>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</si>
  <si>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</si>
  <si>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</si>
  <si>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</si>
  <si>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</si>
  <si>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</si>
  <si>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</si>
  <si>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</si>
  <si>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</si>
  <si>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</si>
  <si>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</si>
  <si>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</si>
  <si>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</si>
  <si>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</si>
  <si>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Gran</t>
  </si>
  <si>
    <t>Innlandet</t>
  </si>
  <si>
    <t>Ordinær barnehage</t>
  </si>
  <si>
    <t>Familiebarnehage</t>
  </si>
  <si>
    <t>Organisasjonsnummer</t>
  </si>
  <si>
    <t>Barnehagenavn</t>
  </si>
  <si>
    <t>Kommunenavn</t>
  </si>
  <si>
    <t>Nr</t>
  </si>
  <si>
    <t>Org.nr</t>
  </si>
  <si>
    <t>Kolonne1</t>
  </si>
  <si>
    <t>▌ SEKSJON 2 – UTBETALINGSMODUL  §19a Grunntilskudd · §19b Pensjon · §19c Eiendom</t>
  </si>
  <si>
    <t>IDENTIFIKASJON</t>
  </si>
  <si>
    <t>§19b PENSJONSTILSKUDD</t>
  </si>
  <si>
    <t>Pensjonssats
(A/B/C)
← velg</t>
  </si>
  <si>
    <t>Sats %</t>
  </si>
  <si>
    <t>Årsverk
(seksj. 1)</t>
  </si>
  <si>
    <t>B</t>
  </si>
  <si>
    <t>C</t>
  </si>
  <si>
    <t>SUM – 146 private barnehager</t>
  </si>
  <si>
    <t>§19a GRUNNTILSKUDD - inkludert kommunal deflator</t>
  </si>
  <si>
    <t>§19c EIENDOM</t>
  </si>
  <si>
    <t>EKSTRA
GRUNNT.</t>
  </si>
  <si>
    <t>TILLEGGS-
TILSKUDD</t>
  </si>
  <si>
    <t>AVRUNDN.</t>
  </si>
  <si>
    <t>SUM HELÅR</t>
  </si>
  <si>
    <t>Sum §19a
grunntilskudd</t>
  </si>
  <si>
    <t>Årsverk fra siste år før tilskuddsåret</t>
  </si>
  <si>
    <t>Pensjonstilskudd</t>
  </si>
  <si>
    <t>Barn
(heltidsvektet)</t>
  </si>
  <si>
    <t>Eiendoms-
tilskudd §19c
(barn×sats)</t>
  </si>
  <si>
    <t>Ekstra
grunntilsk.
(manuell)</t>
  </si>
  <si>
    <t>Tilleggs-
tilskudd
(manuell)</t>
  </si>
  <si>
    <t>Avrundn.</t>
  </si>
  <si>
    <t>Sum
helår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</si>
  <si>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</si>
  <si>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</si>
  <si>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</si>
  <si>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</si>
  <si>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</si>
  <si>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</si>
  <si>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</si>
  <si>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Ansvar</t>
  </si>
  <si>
    <t>Ansvar (T)</t>
  </si>
  <si>
    <t>Tjeneste</t>
  </si>
  <si>
    <t>Tjeneste (T)</t>
  </si>
  <si>
    <t>Konto</t>
  </si>
  <si>
    <t>Prosjekt- nummer</t>
  </si>
  <si>
    <t>Konto (T)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</si>
  <si>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</si>
  <si>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</si>
  <si>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</si>
  <si>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Synliggjøring av korreksjon Kommunale satsinger jfr. forskrift § 8</t>
  </si>
  <si>
    <t>Begrunnelse for korreksjon</t>
  </si>
  <si>
    <t>1. Lønn</t>
  </si>
  <si>
    <t>9. Pensjon</t>
  </si>
  <si>
    <t>91. Arbeidsgiveravgift</t>
  </si>
  <si>
    <t>Barnehagemyndighet</t>
  </si>
  <si>
    <t xml:space="preserve">2. Varer og tjenester </t>
  </si>
  <si>
    <t>3. Mva</t>
  </si>
  <si>
    <t>5. Sykelønnsrefusjon</t>
  </si>
  <si>
    <t>6. Mva-kompensasjon</t>
  </si>
  <si>
    <t>Foreldrebetaling</t>
  </si>
  <si>
    <t>Tilskudd private</t>
  </si>
  <si>
    <t>Annet</t>
  </si>
  <si>
    <t>Feilføring</t>
  </si>
  <si>
    <t>Lærlinger</t>
  </si>
  <si>
    <t>Tap på krav</t>
  </si>
  <si>
    <t>*ved behov for flere egne grupperinger eller andre endringer- gjør endringer i arkfanen "metadata"</t>
  </si>
  <si>
    <t>Beløp som mangler gruppering</t>
  </si>
  <si>
    <t>7. Matpenger</t>
  </si>
  <si>
    <t>Gruppering</t>
  </si>
  <si>
    <t>Kommentar</t>
  </si>
  <si>
    <t>Trekk arket lenger ned</t>
  </si>
  <si>
    <t>ØKONOMIRAPPORT – Funksjon 221  ▸  Lim inn fra KOSTRA. Sett Gruppering i kolonne H.</t>
  </si>
  <si>
    <t>Summeringstabeller</t>
  </si>
  <si>
    <t>Korreksjon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</si>
  <si>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</si>
  <si>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</si>
  <si>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</si>
  <si>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</si>
  <si>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</si>
  <si>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</si>
  <si>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</si>
  <si>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</si>
  <si>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</si>
  <si>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</si>
  <si>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</si>
  <si>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</si>
  <si>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</si>
  <si>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</si>
  <si>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</si>
  <si>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</si>
  <si>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</si>
  <si>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</si>
  <si>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</si>
  <si>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</si>
  <si>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</si>
  <si>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</si>
  <si>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</si>
  <si>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</si>
  <si>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</si>
  <si>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</si>
  <si>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refusjoner</t>
  </si>
  <si>
    <t>690</t>
  </si>
  <si>
    <t>SUM 201 eks pensjon</t>
  </si>
  <si>
    <t>B. Funksjon 221 – Barnehagelokaler</t>
  </si>
  <si>
    <t>1.lønn</t>
  </si>
  <si>
    <t>− Sykelønnsrefusjoner</t>
  </si>
  <si>
    <t>− Kapitaldel innleide</t>
  </si>
  <si>
    <t>190</t>
  </si>
  <si>
    <t>Manuell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</si>
  <si>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</si>
  <si>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</si>
  <si>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</si>
  <si>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</si>
  <si>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</si>
  <si>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</si>
  <si>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</si>
  <si>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</si>
  <si>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</si>
  <si>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</si>
  <si>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</si>
  <si>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E. Barnetall kommunale barnehager – direkte fra BASIL</t>
  </si>
  <si>
    <t>Vektet total (1.8×0-2 + 1×3-6)</t>
  </si>
  <si>
    <t>Andel 0-2 år</t>
  </si>
  <si>
    <t>Andel 3-6 år</t>
  </si>
  <si>
    <t>F. Foreldrebetaling og satsberegning</t>
  </si>
  <si>
    <t>Kostnadsandel 0-2 (etter deflator)</t>
  </si>
  <si>
    <t>Kostnadsandel 3-6 (etter deflator)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</si>
  <si>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</si>
  <si>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</si>
  <si>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</si>
  <si>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</si>
  <si>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</si>
  <si>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Ref. NAV</t>
  </si>
  <si>
    <t>− Andre ref.</t>
  </si>
  <si>
    <t>E. Barnetall kommunale barnehager – del av "andreledd"- hentes manuelt</t>
  </si>
  <si>
    <t>Per barn</t>
  </si>
  <si>
    <t>★  Korreksjon særskilt per heltidsplass – 0–2 år (kr)</t>
  </si>
  <si>
    <t>★  Korrektsjon særskilt per heltidsplass – 3–6 år (kr)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</si>
  <si>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</si>
  <si>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</si>
  <si>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</si>
  <si>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</si>
  <si>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</si>
  <si>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</si>
  <si>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</si>
  <si>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</si>
  <si>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</si>
  <si>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</si>
  <si>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</si>
  <si>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</si>
  <si>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</si>
  <si>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</si>
  <si>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</si>
  <si>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</si>
  <si>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</si>
  <si>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</si>
  <si>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</si>
  <si>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</si>
  <si>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</si>
  <si>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</si>
  <si>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</si>
  <si>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</si>
  <si>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</si>
  <si>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</si>
  <si>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</si>
  <si>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</si>
  <si>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</si>
  <si>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</si>
  <si>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</si>
  <si>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</si>
  <si>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</si>
  <si>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</si>
  <si>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</si>
  <si>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</si>
  <si>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</si>
  <si>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</si>
  <si>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</si>
  <si>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</si>
  <si>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</si>
  <si>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</si>
  <si>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</si>
  <si>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</si>
  <si>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</si>
  <si>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</si>
  <si>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</si>
  <si>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</si>
  <si>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</si>
  <si>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</si>
  <si>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</si>
  <si>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</si>
  <si>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</si>
  <si>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</si>
  <si>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</si>
  <si>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</si>
  <si>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</si>
  <si>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</si>
  <si>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</si>
  <si>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</si>
  <si>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</si>
  <si>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</si>
  <si>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</si>
  <si>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</si>
  <si>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</si>
  <si>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</si>
  <si>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</si>
  <si>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</si>
  <si>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</si>
  <si>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</si>
  <si>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</si>
  <si>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</si>
  <si>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</si>
  <si>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</si>
  <si>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</si>
  <si>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</si>
  <si>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</si>
  <si>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</si>
  <si>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</si>
  <si>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</si>
  <si>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</si>
  <si>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</si>
  <si>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</si>
  <si>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</si>
  <si>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</si>
  <si>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</si>
  <si>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</si>
  <si>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</si>
  <si>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</si>
  <si>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</si>
  <si>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</si>
  <si>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</si>
  <si>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</si>
  <si>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</si>
  <si>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</si>
  <si>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</si>
  <si>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</si>
  <si>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</si>
  <si>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</si>
  <si>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</si>
  <si>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</si>
  <si>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</si>
  <si>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</si>
  <si>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</si>
  <si>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</si>
  <si>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</si>
  <si>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</si>
  <si>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</si>
  <si>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</si>
  <si>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</si>
  <si>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</si>
  <si>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</si>
  <si>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</si>
  <si>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</si>
  <si>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</si>
  <si>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</si>
  <si>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</si>
  <si>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</si>
  <si>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</si>
  <si>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</si>
  <si>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</si>
  <si>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</si>
  <si>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</si>
  <si>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</si>
  <si>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</si>
  <si>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</si>
  <si>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</si>
  <si>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</si>
  <si>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</si>
  <si>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</si>
  <si>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</si>
  <si>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</si>
  <si>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</si>
  <si>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</si>
  <si>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</si>
  <si>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</si>
  <si>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</si>
  <si>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Fylke</t>
  </si>
  <si>
    <t>Sone</t>
  </si>
  <si>
    <t>https://www.skatteetaten.no/satser/arbeidsgiveravgift-soneinndeling/</t>
  </si>
  <si>
    <t>Risør</t>
  </si>
  <si>
    <t>Agder</t>
  </si>
  <si>
    <t>Grimstad</t>
  </si>
  <si>
    <t>Sortering</t>
  </si>
  <si>
    <t>Maksbetaling</t>
  </si>
  <si>
    <t>1.1.xx</t>
  </si>
  <si>
    <t>1.8.xx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</si>
  <si>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</si>
  <si>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</si>
  <si>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</si>
  <si>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</si>
  <si>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</si>
  <si>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</si>
  <si>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</si>
  <si>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</si>
  <si>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</si>
  <si>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</si>
  <si>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</si>
  <si>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</si>
  <si>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</si>
  <si>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</si>
  <si>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</si>
  <si>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</si>
  <si>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</si>
  <si>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</si>
  <si>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</si>
  <si>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</si>
  <si>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</si>
  <si>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</si>
  <si>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</si>
  <si>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</si>
  <si>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</si>
  <si>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</si>
  <si>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</si>
  <si>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</si>
  <si>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</si>
  <si>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</si>
  <si>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</si>
  <si>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</si>
  <si>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</si>
  <si>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</si>
  <si>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</si>
  <si>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</si>
  <si>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</si>
  <si>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</si>
  <si>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</si>
  <si>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</si>
  <si>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</si>
  <si>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</si>
  <si>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</si>
  <si>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</si>
  <si>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</si>
  <si>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</si>
  <si>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</si>
  <si>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</si>
  <si>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</si>
  <si>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</si>
  <si>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</si>
  <si>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</si>
  <si>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</si>
  <si>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</si>
  <si>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</si>
  <si>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</si>
  <si>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</si>
  <si>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</si>
  <si>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</si>
  <si>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</si>
  <si>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</si>
  <si>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</si>
  <si>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</si>
  <si>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</si>
  <si>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</si>
  <si>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</si>
  <si>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</si>
  <si>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</si>
  <si>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</si>
  <si>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</si>
  <si>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</si>
  <si>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</si>
  <si>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</si>
  <si>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</si>
  <si>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</si>
  <si>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</si>
  <si>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</si>
  <si>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</si>
  <si>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</si>
  <si>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</si>
  <si>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</si>
  <si>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</si>
  <si>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</si>
  <si>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</si>
  <si>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</si>
  <si>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</si>
  <si>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</si>
  <si>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</si>
  <si>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</si>
  <si>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</si>
  <si>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</si>
  <si>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</si>
  <si>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</si>
  <si>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</si>
  <si>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</si>
  <si>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</si>
  <si>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</si>
  <si>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</si>
  <si>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</si>
  <si>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</si>
  <si>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</si>
  <si>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</si>
  <si>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</si>
  <si>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</si>
  <si>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</si>
  <si>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</si>
  <si>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</si>
  <si>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</si>
  <si>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</si>
  <si>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</si>
  <si>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</si>
  <si>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</si>
  <si>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</si>
  <si>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</si>
  <si>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</si>
  <si>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</si>
  <si>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</si>
  <si>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</si>
  <si>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</si>
  <si>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</si>
  <si>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</si>
  <si>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</si>
  <si>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</si>
  <si>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</si>
  <si>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</si>
  <si>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</si>
  <si>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</si>
  <si>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</si>
  <si>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</si>
  <si>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</si>
  <si>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</si>
  <si>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</si>
  <si>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</si>
  <si>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</si>
  <si>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</si>
  <si>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</si>
  <si>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</si>
  <si>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</si>
  <si>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</si>
  <si>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</si>
  <si>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</si>
  <si>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</si>
  <si>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</si>
  <si>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</si>
  <si>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</si>
  <si>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</si>
  <si>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</si>
  <si>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</si>
  <si>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</si>
  <si>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</si>
  <si>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</si>
  <si>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</si>
  <si>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</si>
  <si>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</si>
  <si>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</si>
  <si>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</si>
  <si>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</si>
  <si>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</si>
  <si>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</si>
  <si>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</si>
  <si>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</si>
  <si>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</si>
  <si>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</si>
  <si>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</si>
  <si>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</si>
  <si>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</si>
  <si>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</si>
  <si>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</si>
  <si>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</si>
  <si>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</si>
  <si>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</si>
  <si>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</si>
  <si>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</si>
  <si>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</si>
  <si>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</si>
  <si>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</si>
  <si>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</si>
  <si>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</si>
  <si>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</si>
  <si>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</si>
  <si>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</si>
  <si>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</si>
  <si>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</si>
  <si>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</si>
  <si>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</si>
  <si>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</si>
  <si>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</si>
  <si>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</si>
  <si>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</si>
  <si>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</si>
  <si>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</si>
  <si>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</si>
  <si>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</si>
  <si>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</si>
  <si>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</si>
  <si>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</si>
  <si>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</si>
  <si>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</si>
  <si>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</si>
  <si>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</si>
  <si>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</si>
  <si>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</si>
  <si>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</si>
  <si>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</si>
  <si>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</si>
  <si>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</si>
  <si>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</si>
  <si>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</si>
  <si>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</si>
  <si>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</si>
  <si>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</si>
  <si>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</si>
  <si>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</si>
  <si>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</si>
  <si>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</si>
  <si>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</si>
  <si>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</si>
  <si>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</si>
  <si>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</si>
  <si>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</si>
  <si>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</si>
  <si>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</si>
  <si>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</si>
  <si>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</si>
  <si>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</si>
  <si>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</si>
  <si>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</si>
  <si>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</si>
  <si>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</si>
  <si>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</si>
  <si>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</si>
  <si>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</si>
  <si>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</si>
  <si>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</si>
  <si>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</si>
  <si>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</si>
  <si>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</si>
  <si>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</si>
  <si>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</si>
  <si>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</si>
  <si>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</si>
  <si>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</si>
  <si>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</si>
  <si>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</si>
  <si>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</si>
  <si>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</si>
  <si>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</si>
  <si>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</si>
  <si>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</si>
  <si>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</si>
  <si>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</si>
  <si>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</si>
  <si>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</si>
  <si>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</si>
  <si>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</si>
  <si>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</si>
  <si>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</si>
  <si>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</si>
  <si>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</si>
  <si>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</si>
  <si>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</si>
  <si>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</si>
  <si>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</si>
  <si>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</si>
  <si>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</si>
  <si>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</si>
  <si>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</si>
  <si>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</si>
  <si>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</si>
  <si>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</si>
  <si>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</si>
  <si>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</si>
  <si>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</si>
  <si>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</si>
  <si>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</si>
  <si>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</si>
  <si>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</si>
  <si>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</si>
  <si>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</si>
  <si>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</si>
  <si>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</si>
  <si>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</si>
  <si>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</si>
  <si>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</si>
  <si>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</si>
  <si>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</si>
  <si>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</si>
  <si>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</si>
  <si>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</si>
  <si>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</si>
  <si>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</si>
  <si>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</si>
  <si>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</si>
  <si>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</si>
  <si>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</si>
  <si>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</si>
  <si>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</si>
  <si>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</si>
  <si>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</si>
  <si>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</si>
  <si>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</si>
  <si>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</si>
  <si>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</si>
  <si>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</si>
  <si>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</si>
  <si>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</si>
  <si>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</si>
  <si>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</si>
  <si>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</si>
  <si>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</si>
  <si>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</si>
  <si>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</si>
  <si>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</si>
  <si>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</si>
  <si>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</si>
  <si>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</si>
  <si>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</si>
  <si>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</si>
  <si>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</si>
  <si>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</si>
  <si>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</si>
  <si>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</si>
  <si>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</si>
  <si>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</si>
  <si>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</si>
  <si>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</si>
  <si>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</si>
  <si>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</si>
  <si>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</si>
  <si>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</si>
  <si>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</si>
  <si>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</si>
  <si>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</si>
  <si>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</si>
  <si>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</si>
  <si>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</si>
  <si>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</si>
  <si>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</si>
  <si>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</si>
  <si>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</si>
  <si>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</si>
  <si>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</si>
  <si>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</si>
  <si>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</si>
  <si>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</si>
  <si>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</si>
  <si>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</si>
  <si>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</si>
  <si>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</si>
  <si>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</si>
  <si>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</si>
  <si>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</si>
  <si>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</si>
  <si>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</si>
  <si>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</si>
  <si>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</si>
  <si>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</si>
  <si>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</si>
  <si>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</si>
  <si>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</si>
  <si>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</si>
  <si>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</si>
  <si>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</si>
  <si>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</si>
  <si>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</si>
  <si>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</si>
  <si>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</si>
  <si>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</si>
  <si>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</si>
  <si>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</si>
  <si>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</si>
  <si>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</si>
  <si>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</si>
  <si>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</si>
  <si>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</si>
  <si>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</si>
  <si>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</si>
  <si>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</si>
  <si>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</si>
  <si>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</si>
  <si>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</si>
  <si>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</si>
  <si>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</si>
  <si>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</si>
  <si>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Dato</t>
  </si>
  <si>
    <t>Endring</t>
  </si>
  <si>
    <t>Barnehagetype</t>
  </si>
  <si>
    <t>Åpen barnehage</t>
  </si>
  <si>
    <t>Type barnehage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</si>
  <si>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</si>
  <si>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 xml:space="preserve">Pensjonssats per årsverk
§19b
</t>
  </si>
  <si>
    <t>EKSTRA
GRUNNT.2</t>
  </si>
  <si>
    <t>EKSTRA
GRUNNT.3</t>
  </si>
  <si>
    <t>EKSTRA
GRUNNT.4</t>
  </si>
  <si>
    <t xml:space="preserve">Kostnadsandel 0-2 </t>
  </si>
  <si>
    <t xml:space="preserve">Kostnadsandel 3-6 </t>
  </si>
  <si>
    <t>Prosjektnummer</t>
  </si>
  <si>
    <t>Lavere sats enn makspris må vedtas i forskrift jf. §20</t>
  </si>
  <si>
    <t>Matpenger per heltidsekvivalent</t>
  </si>
  <si>
    <t>Beskrivelse - se veileder og forarbeider for mer detaljer</t>
  </si>
  <si>
    <t>Kostpenger (regnskapsført)</t>
  </si>
  <si>
    <t>Foreldrebetaling totalt 0-2</t>
  </si>
  <si>
    <t>Foreldrebetaling totalt 3-6</t>
  </si>
  <si>
    <t>Manuell korreksjon</t>
  </si>
  <si>
    <t>Manuell inntasting</t>
  </si>
  <si>
    <t>F. Korreksjoner til satsberegning</t>
  </si>
  <si>
    <t>Kun synlinggjøring</t>
  </si>
  <si>
    <t>Brukes i korreksjonsark 4X</t>
  </si>
  <si>
    <t>Brukes i selvkost (ark 4.)</t>
  </si>
  <si>
    <t>Kommunen må manuelt legge til og benevne her</t>
  </si>
  <si>
    <t xml:space="preserve">Sum = månedspris ganger 11. Statsbudsjettet, eventuelt lavere foreldrebetaling fastsatt i lokal forskrift https://lovdata.no/LTI/forskrift/2026-03-23-454/§6 </t>
  </si>
  <si>
    <t>1A. Barnehagenavn:</t>
  </si>
  <si>
    <t>1A. Kommunenummer:</t>
  </si>
  <si>
    <t>1A. Kommunenavn:</t>
  </si>
  <si>
    <t>1C. Barnehagens eier:</t>
  </si>
  <si>
    <t>Synliggjøring av korreksjon særskilte driftsforutsetninger (manuell inntasting med utgangspunkt i konkret vurdering) hele kr. Jf. barnehageloven § 19a, andre ledd</t>
  </si>
  <si>
    <t>Synliggjøring av korreksjon særlige behov i barnegruppa (manuell inntasting med utgangspunkt i konkret vurdering) hele kr. Jf. barnehageloven § 19a, andre ledd</t>
  </si>
  <si>
    <t>Kalkulert lønnsfelt</t>
  </si>
  <si>
    <t>Andre tilskudd og refusjoner</t>
  </si>
  <si>
    <t>− Andre tilskudd og refusjoner</t>
  </si>
  <si>
    <t>Kapitalkostnader, renter og avskrivning bygg</t>
  </si>
  <si>
    <t>Internt salg/matsalg</t>
  </si>
  <si>
    <t>Er denne nødvendig? Hva tenker kommunene?</t>
  </si>
  <si>
    <t xml:space="preserve">Gule felter = fyll inn. Grønne = beregnes automatisk.  ·  Regelgrunnlag: Ny barnehagelov (lov 2025-06-20-100) og Forskrift https://lovdata.no/dokument/LTI/forskrift/2026-03-23-454 </t>
  </si>
  <si>
    <t>Heltidsplasser
0-2
(seksj. 1)</t>
  </si>
  <si>
    <t>Heltidsplasser
3-6</t>
  </si>
  <si>
    <t>Sats 3-6
(kr/heltidsplass)</t>
  </si>
  <si>
    <t>Sats 0-2
(kr/heltidsplass)</t>
  </si>
  <si>
    <t>Heltidsplasser 0-2 år (kommunale bhg)</t>
  </si>
  <si>
    <t>Heltidsplasser 3-6 år (kommunale bhg)</t>
  </si>
  <si>
    <t>BASIL-RÅDATA  ▸  Lim inn bearbeidet data fra mal for bearbeiding</t>
  </si>
  <si>
    <t>Heltidsplasser
0-2</t>
  </si>
  <si>
    <t>▌ SEKSJON 2 – BUDSJETT- OG FORSKUDDSMODUL  §19a Grunntilskudd · §19b Pensjon · §19c Eiendom</t>
  </si>
  <si>
    <t>Prosjektbeskrivelse/objektnavn e.l.</t>
  </si>
  <si>
    <t>Anslag deflator år 2</t>
  </si>
  <si>
    <t>Prisjustering av driftsutgifter til år 1</t>
  </si>
  <si>
    <t>Prisjustering av driftsutgifter til år 2</t>
  </si>
  <si>
    <t>Hentes fra 0. Oppsett</t>
  </si>
  <si>
    <t>Hentes fra 0. Oppsett- se veilederen for behandling i høring og vedtak</t>
  </si>
  <si>
    <t>Prisjustering året etter regnskapsår (deflator)</t>
  </si>
  <si>
    <t>Prisjustering to år etter regnskapsår (deflator)</t>
  </si>
  <si>
    <t xml:space="preserve">Pensjonssats per årsverk §19b Inkl AGA </t>
  </si>
  <si>
    <t>Samlet gjennomsnittslønn per årsverk med pensjonsforpliktelse i barnehagen (kr)
← fra BASIL
regnskap-  deflatorjustert</t>
  </si>
  <si>
    <t>Høyeste år i rapporteringen</t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</si>
  <si>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</si>
  <si>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</si>
  <si>
    <t>A</t>
  </si>
  <si>
    <t>År N-1 - siste årsmelding</t>
  </si>
  <si>
    <t>Benyttes for utmåling av tilskudd til de private barnehagene</t>
  </si>
  <si>
    <t>Benyttes for beregning av veid snitt av barnetall i selvkost</t>
  </si>
  <si>
    <t>BASIL-årsmelding året før tilskuddsår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</si>
  <si>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</si>
  <si>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</si>
  <si>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Mellom – høyere innskuddsordning, tariffbunden pensjon med tillegg</t>
  </si>
  <si>
    <t>Relevant for barnehager med innskuddsordninger med en høyere avtalt sparesats med tilleggsprodukter og AFP.</t>
  </si>
  <si>
    <t>Høyeste – ytelsespensjon, hybrid, AFP og tilleggsprodukter. Representerer «bransjestandard».</t>
  </si>
  <si>
    <t>Flertallet av barnehagene forventes å innplasseres her. Inkluderer barnehager med AFP.</t>
  </si>
  <si>
    <t>BASIL-årsmelding N-2, vektes 5/12 og N-3, vektes 7/12 i selvkost</t>
  </si>
  <si>
    <t>5302</t>
  </si>
  <si>
    <t>Reinhald</t>
  </si>
  <si>
    <t>221</t>
  </si>
  <si>
    <t>Barnehagelokaler og skyss</t>
  </si>
  <si>
    <t>1017</t>
  </si>
  <si>
    <t>Andre avtalefesta tillegg fast tilsette</t>
  </si>
  <si>
    <t/>
  </si>
  <si>
    <t>Uten prosjekt</t>
  </si>
  <si>
    <t>1075</t>
  </si>
  <si>
    <t>Lønn renholdere</t>
  </si>
  <si>
    <t>5301</t>
  </si>
  <si>
    <t>Eigedomsforvaltning</t>
  </si>
  <si>
    <t>1090</t>
  </si>
  <si>
    <t>Pensjonsutgifter - KLP - fellesordning</t>
  </si>
  <si>
    <t>9200</t>
  </si>
  <si>
    <t>Premieavvik og pensjonskostnad</t>
  </si>
  <si>
    <t>9951</t>
  </si>
  <si>
    <t>Fordeling premiefond og sikringsordning</t>
  </si>
  <si>
    <t>1094</t>
  </si>
  <si>
    <t>Forsikring ulykke/gruppeliv- oppgavepliktig</t>
  </si>
  <si>
    <t>1099</t>
  </si>
  <si>
    <t>4820</t>
  </si>
  <si>
    <t>Søvik barnehage</t>
  </si>
  <si>
    <t>1105</t>
  </si>
  <si>
    <t>Undervisningsmateriell</t>
  </si>
  <si>
    <t>4801</t>
  </si>
  <si>
    <t>Minoritetsspråklige midlar - alle bhg</t>
  </si>
  <si>
    <t>5303</t>
  </si>
  <si>
    <t>Eigedom drift</t>
  </si>
  <si>
    <t>1121</t>
  </si>
  <si>
    <t>Arbeidsklær</t>
  </si>
  <si>
    <t>1123</t>
  </si>
  <si>
    <t>Velferdstiltak - ansatte</t>
  </si>
  <si>
    <t>1129</t>
  </si>
  <si>
    <t>Andre forbruksvarer og tjenester</t>
  </si>
  <si>
    <t>1130</t>
  </si>
  <si>
    <t>Telefon og datakommunikasjon</t>
  </si>
  <si>
    <t>9700</t>
  </si>
  <si>
    <t>Fellesutgifter og -inntekter</t>
  </si>
  <si>
    <t>1131</t>
  </si>
  <si>
    <t>Porto og frakt</t>
  </si>
  <si>
    <t>1150</t>
  </si>
  <si>
    <t>Kurs/opplæring- ikke oppgavepliktig</t>
  </si>
  <si>
    <t>1172</t>
  </si>
  <si>
    <t>Driftsutgifter transportmidler</t>
  </si>
  <si>
    <t>1173</t>
  </si>
  <si>
    <t>Drivstoff</t>
  </si>
  <si>
    <t>1174</t>
  </si>
  <si>
    <t>Service, reperasjon og vedlikehold</t>
  </si>
  <si>
    <t>4810</t>
  </si>
  <si>
    <t>Tennfjord barnehage</t>
  </si>
  <si>
    <t>1180</t>
  </si>
  <si>
    <t>Straum</t>
  </si>
  <si>
    <t>4840</t>
  </si>
  <si>
    <t>Haramsøy barnehage</t>
  </si>
  <si>
    <t>5300</t>
  </si>
  <si>
    <t>Viderefakturering</t>
  </si>
  <si>
    <t>4850</t>
  </si>
  <si>
    <t>Lepsøy barnehage</t>
  </si>
  <si>
    <t>4860</t>
  </si>
  <si>
    <t>Longva Barnehage (nytt 2025)</t>
  </si>
  <si>
    <t>1185</t>
  </si>
  <si>
    <t>Skade/ansvarsforsikring</t>
  </si>
  <si>
    <t>1190</t>
  </si>
  <si>
    <t>Husleige</t>
  </si>
  <si>
    <t>Husleie</t>
  </si>
  <si>
    <t>1195</t>
  </si>
  <si>
    <t>Kommunale gebyrer og avgifter</t>
  </si>
  <si>
    <t>1196</t>
  </si>
  <si>
    <t>Lisenser/kontingenter</t>
  </si>
  <si>
    <t>1199</t>
  </si>
  <si>
    <t>Andre avgifter og gebyrer</t>
  </si>
  <si>
    <t>1200</t>
  </si>
  <si>
    <t>Inventar og utstyr (kjøp og finansiell leasing)</t>
  </si>
  <si>
    <t>1211</t>
  </si>
  <si>
    <t>Leasing av transportmidler</t>
  </si>
  <si>
    <t>1230</t>
  </si>
  <si>
    <t>Tenester og materiell til vedlikehold bygg/anlegg- inkl byggeledelse (fra andre)</t>
  </si>
  <si>
    <t>1241</t>
  </si>
  <si>
    <t>Service- og driftsavtaler</t>
  </si>
  <si>
    <t>1250</t>
  </si>
  <si>
    <t>Materialer til vedlikehold (utført av egne ansatte)</t>
  </si>
  <si>
    <t>1271</t>
  </si>
  <si>
    <t>Konsulenttjenester</t>
  </si>
  <si>
    <t>1429</t>
  </si>
  <si>
    <t>Merverdiavgift utenfor mva-loven (komp)</t>
  </si>
  <si>
    <t>9310</t>
  </si>
  <si>
    <t>Avskrivninger driftsmidler</t>
  </si>
  <si>
    <t>1590</t>
  </si>
  <si>
    <t>Avskrivinger</t>
  </si>
  <si>
    <t>1710</t>
  </si>
  <si>
    <t>Refusjon sykelønn</t>
  </si>
  <si>
    <t>1729</t>
  </si>
  <si>
    <t>Komp. Merverdiavgift</t>
  </si>
  <si>
    <t>201</t>
  </si>
  <si>
    <t>Barnehage</t>
  </si>
  <si>
    <t>1091</t>
  </si>
  <si>
    <t>Pensjonsutgifter - KLP sykepleier</t>
  </si>
  <si>
    <t>1010</t>
  </si>
  <si>
    <t>Lønn faste stillinger</t>
  </si>
  <si>
    <t>Utdanningsbarnehage - kun Tennfjord bhg</t>
  </si>
  <si>
    <t>1020</t>
  </si>
  <si>
    <t>Lønn sjukevikarer</t>
  </si>
  <si>
    <t>1022</t>
  </si>
  <si>
    <t>Lønn vikarer- permisjon med lønn</t>
  </si>
  <si>
    <t>1023</t>
  </si>
  <si>
    <t>Lønn vikarer- fødselspermisjon</t>
  </si>
  <si>
    <t>1030</t>
  </si>
  <si>
    <t>Lønn ekstrahjelp</t>
  </si>
  <si>
    <t>1031</t>
  </si>
  <si>
    <t>Lønn engasjement/midlertidig stilling</t>
  </si>
  <si>
    <t>1058</t>
  </si>
  <si>
    <t>Avg.pl bilgodtgjørelse</t>
  </si>
  <si>
    <t>1059</t>
  </si>
  <si>
    <t>Anna lønn og godtgjørelse</t>
  </si>
  <si>
    <t>1151</t>
  </si>
  <si>
    <t>Oppholdsutgifter kurs og opplæring- ikke oppgavepliktig</t>
  </si>
  <si>
    <t>1160</t>
  </si>
  <si>
    <t>Bilgodtgjøresle - opplysningspliktig</t>
  </si>
  <si>
    <t>1170</t>
  </si>
  <si>
    <t>Transport og reiseutgifter ansatte- ikke oppgavepl.</t>
  </si>
  <si>
    <t>1770</t>
  </si>
  <si>
    <t>Refusjon fra andre</t>
  </si>
  <si>
    <t>4000</t>
  </si>
  <si>
    <t>Skule og barnehage</t>
  </si>
  <si>
    <t>1700</t>
  </si>
  <si>
    <t>Refusjon fra staten</t>
  </si>
  <si>
    <t>4805</t>
  </si>
  <si>
    <t>Toppa bemanning barnehage</t>
  </si>
  <si>
    <t>1001</t>
  </si>
  <si>
    <t>Påløpt lønn</t>
  </si>
  <si>
    <t>4804</t>
  </si>
  <si>
    <t>Tilrettelegging i bhg - alle bhg</t>
  </si>
  <si>
    <t>1370</t>
  </si>
  <si>
    <t>Kjøp av tjenester/driftsavtaler fra private</t>
  </si>
  <si>
    <t>4802</t>
  </si>
  <si>
    <t>Vidareutdanning i barnehage og skule - alle bhg</t>
  </si>
  <si>
    <t>4001</t>
  </si>
  <si>
    <t>Private barnehager</t>
  </si>
  <si>
    <t>1373</t>
  </si>
  <si>
    <t>Tilskudd til private barnehager</t>
  </si>
  <si>
    <t>1040</t>
  </si>
  <si>
    <t>Lønn overtid</t>
  </si>
  <si>
    <t>1100</t>
  </si>
  <si>
    <t>Kontormateriell</t>
  </si>
  <si>
    <t>1126</t>
  </si>
  <si>
    <t>Internkjøp og internsalg innad i kommunen</t>
  </si>
  <si>
    <t>1169</t>
  </si>
  <si>
    <t>Andre opplysningspliktige godtgjørelser</t>
  </si>
  <si>
    <t>1109</t>
  </si>
  <si>
    <t>Annet undervisningsmateriell</t>
  </si>
  <si>
    <t>1202</t>
  </si>
  <si>
    <t>IKT-utstyr (kjøp og finansiell leasing)</t>
  </si>
  <si>
    <t>2000</t>
  </si>
  <si>
    <t>Livsløp</t>
  </si>
  <si>
    <t>1115</t>
  </si>
  <si>
    <t>Matvarer</t>
  </si>
  <si>
    <t>4800</t>
  </si>
  <si>
    <t>Rekomp - alle bhg</t>
  </si>
  <si>
    <t>1116</t>
  </si>
  <si>
    <t>Kommunal servering</t>
  </si>
  <si>
    <t>1141</t>
  </si>
  <si>
    <t>Gåve ved representasjon</t>
  </si>
  <si>
    <t>1470</t>
  </si>
  <si>
    <t>Overføringer til private</t>
  </si>
  <si>
    <t>1730</t>
  </si>
  <si>
    <t>Refusjon fra fylkeskommunen</t>
  </si>
  <si>
    <t>1750</t>
  </si>
  <si>
    <t>Refusjon fra andre kommuner og IKS</t>
  </si>
  <si>
    <t>1037</t>
  </si>
  <si>
    <t>Andre avtalefesta tillegg ekstrahjelp</t>
  </si>
  <si>
    <t>4029</t>
  </si>
  <si>
    <t>Ekstra bemanning Bhg og SFO</t>
  </si>
  <si>
    <t>1021</t>
  </si>
  <si>
    <t>Lønn ferievikarer</t>
  </si>
  <si>
    <t>4026</t>
  </si>
  <si>
    <t>Kompetanseløftet</t>
  </si>
  <si>
    <t>4012</t>
  </si>
  <si>
    <t>Oppfølging lærling</t>
  </si>
  <si>
    <t>4006</t>
  </si>
  <si>
    <t>Veiledning nyutdanna lærarar</t>
  </si>
  <si>
    <t>4004</t>
  </si>
  <si>
    <t>Inntektsmoderasjon</t>
  </si>
  <si>
    <t>4003</t>
  </si>
  <si>
    <t>Gratis kjernetid</t>
  </si>
  <si>
    <t>1600</t>
  </si>
  <si>
    <t>Egenandeler</t>
  </si>
  <si>
    <t>4002</t>
  </si>
  <si>
    <t>Kost - aktivitetsandel - egenbetaling</t>
  </si>
  <si>
    <t>1120</t>
  </si>
  <si>
    <t>Renholdsartikler</t>
  </si>
  <si>
    <t>Søskenmoderasjon</t>
  </si>
  <si>
    <t>1112</t>
  </si>
  <si>
    <t>Lærlingar</t>
  </si>
  <si>
    <t>1111</t>
  </si>
  <si>
    <t>Refusjon frikjøp tillitsvalte</t>
  </si>
  <si>
    <t>1002</t>
  </si>
  <si>
    <t>Kurs og kompetansehevingstiltak</t>
  </si>
  <si>
    <t>Gåver og øyremerka midlar</t>
  </si>
  <si>
    <t>1186</t>
  </si>
  <si>
    <t>Yrkesskade/ulykkesforsikring- ikke oppgavepl.</t>
  </si>
  <si>
    <t>1350</t>
  </si>
  <si>
    <t>Kjøp av tjenester fra andre kommuner</t>
  </si>
  <si>
    <t>1018</t>
  </si>
  <si>
    <t>Lønn vikarer- permisjon uten lønn</t>
  </si>
  <si>
    <t>1050</t>
  </si>
  <si>
    <t>Lønn lærling</t>
  </si>
  <si>
    <t>1110</t>
  </si>
  <si>
    <t>Medisinsk forbruksmateriell</t>
  </si>
  <si>
    <t>1138</t>
  </si>
  <si>
    <t>Naturalytelse - ikke oppl.pl. og avg.pl.</t>
  </si>
  <si>
    <t>1139</t>
  </si>
  <si>
    <t>Motkonto naturalytelse - ikke oppl.pl. og avg.pl.</t>
  </si>
  <si>
    <t>1209</t>
  </si>
  <si>
    <t>Medisinsk utstyr</t>
  </si>
  <si>
    <t>1502</t>
  </si>
  <si>
    <t>Andre finansutgifter (forinkelsesrenter m.m)</t>
  </si>
  <si>
    <t>1711</t>
  </si>
  <si>
    <t>Refusjon fødselspenger</t>
  </si>
  <si>
    <t>1101</t>
  </si>
  <si>
    <t>Tidsskrift/abonnement</t>
  </si>
  <si>
    <t>egenandel mobiltelefon</t>
  </si>
  <si>
    <t>1220</t>
  </si>
  <si>
    <t>Leie av IKT-utstyr</t>
  </si>
  <si>
    <t>1027</t>
  </si>
  <si>
    <t>Andre avtalefesta tillegg vikarer</t>
  </si>
  <si>
    <t>5408</t>
  </si>
  <si>
    <t>Veg</t>
  </si>
  <si>
    <t>1243</t>
  </si>
  <si>
    <t>Vintervedlikehold</t>
  </si>
  <si>
    <t>Ekstra bemanning Bhg og SFO, kommunal satning, tatt med</t>
  </si>
  <si>
    <t>Øremerka staten - Toppa bemanning barnehage, ikke med</t>
  </si>
  <si>
    <t>internettaksess + m365 lisenser</t>
  </si>
  <si>
    <t>Lisenser og kontrigenter for barnehager. Tatt med</t>
  </si>
  <si>
    <t>Tal på tilsette per januar 2025</t>
  </si>
  <si>
    <t>Tennfjord        </t>
  </si>
  <si>
    <t>Søvik                  </t>
  </si>
  <si>
    <t>har egen aksess</t>
  </si>
  <si>
    <t xml:space="preserve">Hildre                  </t>
  </si>
  <si>
    <t xml:space="preserve">Haramsøy       </t>
  </si>
  <si>
    <t xml:space="preserve">Lepsøy               </t>
  </si>
  <si>
    <t>m365 lisenser</t>
  </si>
  <si>
    <t>Pris per lisens</t>
  </si>
  <si>
    <t>eKommune bredbånd aksess kommunalt nett</t>
  </si>
  <si>
    <t>ansatte på kommunal fiber</t>
  </si>
  <si>
    <t>Sum m365 lisenser og internett aksess ekommune</t>
  </si>
  <si>
    <t>1. IKT Felles - korreksjoner for utgifter ikke med i økonomirapport uttrekk</t>
  </si>
  <si>
    <t>1580</t>
  </si>
  <si>
    <t>0</t>
  </si>
  <si>
    <t>15</t>
  </si>
  <si>
    <t>983952852</t>
  </si>
  <si>
    <t>Kommune</t>
  </si>
  <si>
    <t>975310590</t>
  </si>
  <si>
    <t>1987</t>
  </si>
  <si>
    <t>980454754</t>
  </si>
  <si>
    <t>1998</t>
  </si>
  <si>
    <t>975310582</t>
  </si>
  <si>
    <t>1988</t>
  </si>
  <si>
    <t>Longva barnehage</t>
  </si>
  <si>
    <t>835057372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</si>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</sst>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</numFmts>
  <fonts count="68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b/>
      <sz val="12"/>
      <color rgb="FF006064"/>
      <name val="Calibri"/>
      <family val="2"/>
    </font>
    <font>
      <sz val="9"/>
      <color rgb="FF2C0052"/>
      <name val="Calibri"/>
      <family val="2"/>
    </font>
    <font>
      <sz val="8"/>
      <color rgb="FF000000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b/>
      <sz val="9"/>
      <color rgb="FFFF8F00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sz val="12"/>
      <color rgb="FF0000FF"/>
      <name val="Calibri"/>
      <family val="2"/>
    </font>
    <font>
      <u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0"/>
      <color rgb="FFFFFFFF"/>
      <name val="Calibri"/>
      <family val="2"/>
    </font>
    <font>
      <i/>
      <sz val="9"/>
      <color rgb="FFFF0000"/>
      <name val="Calibri"/>
      <family val="2"/>
    </font>
    <font>
      <i/>
      <sz val="9"/>
      <color rgb="FF595959"/>
      <name val="Calibri"/>
      <family val="2"/>
    </font>
    <font>
      <sz val="9"/>
      <color rgb="FF0000FF"/>
      <name val="Calibri"/>
      <family val="2"/>
    </font>
    <font>
      <b/>
      <sz val="10"/>
      <color rgb="FF1F3864"/>
      <name val="Calibri"/>
      <family val="2"/>
    </font>
    <font>
      <b/>
      <sz val="11"/>
      <color theme="4"/>
      <name val="Calibri"/>
      <family val="2"/>
    </font>
    <font>
      <i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FFFF"/>
      <name val="Calibri"/>
      <family val="2"/>
    </font>
    <font>
      <sz val="10"/>
      <color rgb="FFFF0000"/>
      <name val="Arial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FBFBF"/>
      </left>
      <right style="thin">
        <color rgb="FFBFBFBF"/>
      </right>
      <top/>
      <bottom style="thin">
        <color theme="4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34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33" fillId="0" borderId="0"/>
    <xf numFmtId="0" fontId="35" fillId="0" borderId="0"/>
    <xf numFmtId="9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3" fillId="0" borderId="0"/>
    <xf numFmtId="0" fontId="35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Border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48" fillId="4" borderId="23" applyNumberFormat="0" applyAlignment="0" applyProtection="0"/>
    <xf numFmtId="0" fontId="49" fillId="4" borderId="22" applyNumberForma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0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10" fontId="8" fillId="5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left" vertical="center"/>
    </xf>
    <xf numFmtId="4" fontId="11" fillId="16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2" fillId="15" borderId="1" xfId="0" applyFont="1" applyFill="1" applyBorder="1" applyAlignment="1">
      <alignment horizontal="center" vertical="center"/>
    </xf>
    <xf numFmtId="1" fontId="14" fillId="15" borderId="1" xfId="0" applyNumberFormat="1" applyFont="1" applyFill="1" applyBorder="1" applyAlignment="1">
      <alignment horizontal="center" vertical="center"/>
    </xf>
    <xf numFmtId="4" fontId="16" fillId="16" borderId="1" xfId="0" applyNumberFormat="1" applyFont="1" applyFill="1" applyBorder="1" applyAlignment="1">
      <alignment horizontal="right" vertical="center"/>
    </xf>
    <xf numFmtId="4" fontId="15" fillId="1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left" vertical="center"/>
    </xf>
    <xf numFmtId="3" fontId="16" fillId="16" borderId="1" xfId="0" applyNumberFormat="1" applyFont="1" applyFill="1" applyBorder="1" applyAlignment="1">
      <alignment horizontal="right" vertical="center"/>
    </xf>
    <xf numFmtId="3" fontId="17" fillId="16" borderId="2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10" fontId="15" fillId="7" borderId="1" xfId="0" applyNumberFormat="1" applyFont="1" applyFill="1" applyBorder="1" applyAlignment="1">
      <alignment horizontal="right" vertical="center"/>
    </xf>
    <xf numFmtId="3" fontId="19" fillId="5" borderId="1" xfId="0" applyNumberFormat="1" applyFont="1" applyFill="1" applyBorder="1" applyAlignment="1">
      <alignment horizontal="right" vertical="center"/>
    </xf>
    <xf numFmtId="3" fontId="13" fillId="7" borderId="2" xfId="0" applyNumberFormat="1" applyFont="1" applyFill="1" applyBorder="1" applyAlignment="1">
      <alignment horizontal="right" vertical="center"/>
    </xf>
    <xf numFmtId="1" fontId="14" fillId="15" borderId="1" xfId="0" applyNumberFormat="1" applyFont="1" applyFill="1" applyBorder="1" applyAlignment="1">
      <alignment horizontal="right" vertical="center"/>
    </xf>
    <xf numFmtId="3" fontId="20" fillId="9" borderId="2" xfId="0" applyNumberFormat="1" applyFont="1" applyFill="1" applyBorder="1" applyAlignment="1">
      <alignment horizontal="right" vertical="center"/>
    </xf>
    <xf numFmtId="3" fontId="21" fillId="11" borderId="1" xfId="0" applyNumberFormat="1" applyFont="1" applyFill="1" applyBorder="1" applyAlignment="1">
      <alignment horizontal="right" vertical="center"/>
    </xf>
    <xf numFmtId="3" fontId="21" fillId="5" borderId="1" xfId="0" applyNumberFormat="1" applyFont="1" applyFill="1" applyBorder="1" applyAlignment="1">
      <alignment horizontal="right" vertical="center"/>
    </xf>
    <xf numFmtId="3" fontId="18" fillId="3" borderId="3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left" vertical="center"/>
    </xf>
    <xf numFmtId="4" fontId="23" fillId="12" borderId="2" xfId="0" applyNumberFormat="1" applyFont="1" applyFill="1" applyBorder="1" applyAlignment="1">
      <alignment horizontal="right" vertical="center"/>
    </xf>
    <xf numFmtId="3" fontId="23" fillId="12" borderId="2" xfId="0" applyNumberFormat="1" applyFont="1" applyFill="1" applyBorder="1" applyAlignment="1">
      <alignment horizontal="right" vertical="center"/>
    </xf>
    <xf numFmtId="0" fontId="24" fillId="3" borderId="1" xfId="0" applyFont="1" applyFill="1" applyBorder="1" applyAlignment="1">
      <alignment horizontal="center" vertical="center"/>
    </xf>
    <xf numFmtId="3" fontId="17" fillId="16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left" vertical="center" wrapText="1"/>
    </xf>
    <xf numFmtId="0" fontId="26" fillId="15" borderId="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left" vertical="center" wrapText="1"/>
    </xf>
    <xf numFmtId="0" fontId="22" fillId="16" borderId="1" xfId="0" applyFont="1" applyFill="1" applyBorder="1" applyAlignment="1">
      <alignment horizontal="left" vertical="center"/>
    </xf>
    <xf numFmtId="3" fontId="27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28" fillId="16" borderId="1" xfId="0" applyFont="1" applyFill="1" applyBorder="1" applyAlignment="1">
      <alignment horizontal="left" vertical="center"/>
    </xf>
    <xf numFmtId="3" fontId="29" fillId="16" borderId="1" xfId="0" applyNumberFormat="1" applyFont="1" applyFill="1" applyBorder="1" applyAlignment="1">
      <alignment horizontal="right" vertical="center"/>
    </xf>
    <xf numFmtId="10" fontId="30" fillId="0" borderId="1" xfId="0" applyNumberFormat="1" applyFont="1" applyBorder="1" applyAlignment="1">
      <alignment horizontal="center" vertical="center"/>
    </xf>
    <xf numFmtId="0" fontId="26" fillId="16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left" vertical="center"/>
    </xf>
    <xf numFmtId="4" fontId="31" fillId="16" borderId="1" xfId="0" applyNumberFormat="1" applyFont="1" applyFill="1" applyBorder="1" applyAlignment="1">
      <alignment horizontal="right" vertical="center"/>
    </xf>
    <xf numFmtId="10" fontId="31" fillId="16" borderId="1" xfId="0" applyNumberFormat="1" applyFont="1" applyFill="1" applyBorder="1" applyAlignment="1">
      <alignment horizontal="right" vertical="center"/>
    </xf>
    <xf numFmtId="0" fontId="29" fillId="16" borderId="2" xfId="0" applyFont="1" applyFill="1" applyBorder="1" applyAlignment="1">
      <alignment horizontal="left" vertical="center"/>
    </xf>
    <xf numFmtId="3" fontId="32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5" fillId="19" borderId="4" xfId="7" applyFill="1" applyBorder="1"/>
    <xf numFmtId="3" fontId="35" fillId="19" borderId="4" xfId="7" applyNumberFormat="1" applyFill="1" applyBorder="1"/>
    <xf numFmtId="0" fontId="35" fillId="19" borderId="4" xfId="7" applyFill="1" applyBorder="1" applyAlignment="1">
      <alignment horizontal="left"/>
    </xf>
    <xf numFmtId="3" fontId="35" fillId="19" borderId="4" xfId="2" applyNumberFormat="1" applyFont="1" applyFill="1" applyBorder="1"/>
    <xf numFmtId="165" fontId="35" fillId="19" borderId="4" xfId="2" applyNumberFormat="1" applyFont="1" applyFill="1" applyBorder="1"/>
    <xf numFmtId="0" fontId="35" fillId="19" borderId="4" xfId="24" applyFill="1" applyBorder="1"/>
    <xf numFmtId="3" fontId="35" fillId="19" borderId="4" xfId="20" applyNumberFormat="1" applyFont="1" applyFill="1" applyBorder="1"/>
    <xf numFmtId="3" fontId="35" fillId="19" borderId="4" xfId="24" applyNumberFormat="1" applyFill="1" applyBorder="1"/>
    <xf numFmtId="0" fontId="35" fillId="19" borderId="4" xfId="24" applyFill="1" applyBorder="1" applyAlignment="1">
      <alignment horizontal="left"/>
    </xf>
    <xf numFmtId="165" fontId="35" fillId="19" borderId="4" xfId="20" applyNumberFormat="1" applyFont="1" applyFill="1" applyBorder="1"/>
    <xf numFmtId="0" fontId="40" fillId="20" borderId="6" xfId="0" applyFont="1" applyFill="1" applyBorder="1" applyAlignment="1">
      <alignment horizontal="left" vertical="top" wrapText="1"/>
    </xf>
    <xf numFmtId="0" fontId="41" fillId="21" borderId="6" xfId="0" applyFont="1" applyFill="1" applyBorder="1" applyAlignment="1">
      <alignment horizontal="left" vertical="top" wrapText="1"/>
    </xf>
    <xf numFmtId="0" fontId="40" fillId="20" borderId="7" xfId="0" applyFont="1" applyFill="1" applyBorder="1" applyAlignment="1">
      <alignment horizontal="left" vertical="top" wrapText="1"/>
    </xf>
    <xf numFmtId="0" fontId="41" fillId="21" borderId="7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9" fillId="0" borderId="0" xfId="33"/>
    <xf numFmtId="0" fontId="6" fillId="2" borderId="8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4" fillId="15" borderId="15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165" fontId="35" fillId="19" borderId="4" xfId="3" applyNumberFormat="1" applyFont="1" applyFill="1" applyBorder="1"/>
    <xf numFmtId="0" fontId="35" fillId="22" borderId="4" xfId="1" applyFont="1" applyFill="1" applyBorder="1"/>
    <xf numFmtId="0" fontId="18" fillId="24" borderId="16" xfId="0" applyFont="1" applyFill="1" applyBorder="1"/>
    <xf numFmtId="0" fontId="42" fillId="0" borderId="0" xfId="0" applyFont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3" fontId="13" fillId="7" borderId="17" xfId="0" applyNumberFormat="1" applyFont="1" applyFill="1" applyBorder="1" applyAlignment="1">
      <alignment horizontal="right" vertical="center"/>
    </xf>
    <xf numFmtId="0" fontId="24" fillId="25" borderId="1" xfId="0" applyFont="1" applyFill="1" applyBorder="1" applyAlignment="1">
      <alignment horizontal="center" vertical="center"/>
    </xf>
    <xf numFmtId="0" fontId="2" fillId="18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18" borderId="0" xfId="0" applyFont="1" applyFill="1" applyAlignment="1">
      <alignment vertical="center"/>
    </xf>
    <xf numFmtId="0" fontId="42" fillId="0" borderId="0" xfId="33" applyFont="1"/>
    <xf numFmtId="0" fontId="42" fillId="0" borderId="0" xfId="33" applyFont="1" applyBorder="1"/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3" fontId="17" fillId="26" borderId="18" xfId="0" applyNumberFormat="1" applyFont="1" applyFill="1" applyBorder="1" applyAlignment="1">
      <alignment horizontal="right" vertical="center"/>
    </xf>
    <xf numFmtId="3" fontId="17" fillId="26" borderId="1" xfId="0" applyNumberFormat="1" applyFont="1" applyFill="1" applyBorder="1" applyAlignment="1">
      <alignment horizontal="right" vertical="center"/>
    </xf>
    <xf numFmtId="3" fontId="17" fillId="26" borderId="19" xfId="0" applyNumberFormat="1" applyFont="1" applyFill="1" applyBorder="1" applyAlignment="1">
      <alignment horizontal="right" vertical="center"/>
    </xf>
    <xf numFmtId="3" fontId="27" fillId="16" borderId="17" xfId="0" applyNumberFormat="1" applyFont="1" applyFill="1" applyBorder="1" applyAlignment="1">
      <alignment horizontal="right" vertical="center"/>
    </xf>
    <xf numFmtId="0" fontId="44" fillId="0" borderId="0" xfId="0" applyFont="1"/>
    <xf numFmtId="0" fontId="45" fillId="15" borderId="1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left" vertical="center" wrapText="1"/>
    </xf>
    <xf numFmtId="0" fontId="14" fillId="15" borderId="20" xfId="0" applyFont="1" applyFill="1" applyBorder="1" applyAlignment="1">
      <alignment horizontal="left" vertical="center"/>
    </xf>
    <xf numFmtId="0" fontId="14" fillId="4" borderId="20" xfId="0" applyFont="1" applyFill="1" applyBorder="1" applyAlignment="1">
      <alignment horizontal="left" vertical="center"/>
    </xf>
    <xf numFmtId="0" fontId="14" fillId="15" borderId="21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/>
    </xf>
    <xf numFmtId="3" fontId="17" fillId="16" borderId="11" xfId="0" applyNumberFormat="1" applyFont="1" applyFill="1" applyBorder="1" applyAlignment="1">
      <alignment horizontal="right" vertical="center"/>
    </xf>
    <xf numFmtId="0" fontId="24" fillId="3" borderId="14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3" fontId="17" fillId="26" borderId="11" xfId="0" applyNumberFormat="1" applyFont="1" applyFill="1" applyBorder="1" applyAlignment="1">
      <alignment horizontal="right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 vertical="center" wrapText="1"/>
    </xf>
    <xf numFmtId="3" fontId="16" fillId="16" borderId="0" xfId="0" applyNumberFormat="1" applyFont="1" applyFill="1" applyAlignment="1">
      <alignment horizontal="right" vertical="center"/>
    </xf>
    <xf numFmtId="0" fontId="26" fillId="4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left" vertical="center" wrapText="1"/>
    </xf>
    <xf numFmtId="3" fontId="46" fillId="5" borderId="1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0" fillId="6" borderId="1" xfId="0" applyFont="1" applyFill="1" applyBorder="1" applyAlignment="1">
      <alignment horizontal="center" vertical="center" wrapText="1"/>
    </xf>
    <xf numFmtId="0" fontId="50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5" fillId="15" borderId="1" xfId="0" applyFont="1" applyFill="1" applyBorder="1" applyAlignment="1">
      <alignment horizontal="left" vertical="center"/>
    </xf>
    <xf numFmtId="3" fontId="0" fillId="28" borderId="10" xfId="0" applyNumberFormat="1" applyFill="1" applyBorder="1" applyAlignment="1">
      <alignment horizontal="right" vertical="center"/>
    </xf>
    <xf numFmtId="0" fontId="51" fillId="27" borderId="21" xfId="0" applyFont="1" applyFill="1" applyBorder="1" applyAlignment="1">
      <alignment horizontal="left" vertical="center"/>
    </xf>
    <xf numFmtId="0" fontId="52" fillId="15" borderId="1" xfId="0" applyFont="1" applyFill="1" applyBorder="1" applyAlignment="1">
      <alignment horizontal="left" vertical="center" wrapText="1"/>
    </xf>
    <xf numFmtId="1" fontId="0" fillId="0" borderId="0" xfId="0" applyNumberFormat="1"/>
    <xf numFmtId="10" fontId="48" fillId="4" borderId="23" xfId="49" applyNumberFormat="1" applyAlignment="1">
      <alignment horizontal="right" vertical="center"/>
    </xf>
    <xf numFmtId="10" fontId="49" fillId="4" borderId="22" xfId="50" applyNumberFormat="1" applyAlignment="1">
      <alignment horizontal="right" vertical="center"/>
    </xf>
    <xf numFmtId="0" fontId="52" fillId="4" borderId="1" xfId="0" applyFont="1" applyFill="1" applyBorder="1" applyAlignment="1">
      <alignment horizontal="left" vertical="center" wrapText="1"/>
    </xf>
    <xf numFmtId="0" fontId="55" fillId="18" borderId="0" xfId="0" applyFont="1" applyFill="1" applyAlignment="1">
      <alignment vertical="center" wrapText="1"/>
    </xf>
    <xf numFmtId="0" fontId="55" fillId="18" borderId="0" xfId="0" applyFont="1" applyFill="1" applyAlignment="1">
      <alignment vertical="center"/>
    </xf>
    <xf numFmtId="0" fontId="2" fillId="17" borderId="9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50" fillId="10" borderId="1" xfId="0" applyFont="1" applyFill="1" applyBorder="1" applyAlignment="1">
      <alignment horizontal="center" vertical="center" wrapText="1"/>
    </xf>
    <xf numFmtId="3" fontId="56" fillId="11" borderId="1" xfId="0" applyNumberFormat="1" applyFont="1" applyFill="1" applyBorder="1" applyAlignment="1">
      <alignment horizontal="right" vertical="center"/>
    </xf>
    <xf numFmtId="3" fontId="57" fillId="12" borderId="2" xfId="0" applyNumberFormat="1" applyFont="1" applyFill="1" applyBorder="1" applyAlignment="1">
      <alignment horizontal="right" vertical="center"/>
    </xf>
    <xf numFmtId="0" fontId="54" fillId="17" borderId="0" xfId="0" applyFont="1" applyFill="1" applyAlignment="1">
      <alignment vertical="center"/>
    </xf>
    <xf numFmtId="0" fontId="14" fillId="27" borderId="21" xfId="0" applyFont="1" applyFill="1" applyBorder="1" applyAlignment="1">
      <alignment horizontal="left" vertical="center"/>
    </xf>
    <xf numFmtId="0" fontId="58" fillId="29" borderId="25" xfId="0" applyFont="1" applyFill="1" applyBorder="1"/>
    <xf numFmtId="166" fontId="14" fillId="15" borderId="1" xfId="0" applyNumberFormat="1" applyFont="1" applyFill="1" applyBorder="1" applyAlignment="1">
      <alignment horizontal="right" vertical="center"/>
    </xf>
    <xf numFmtId="167" fontId="16" fillId="16" borderId="1" xfId="0" applyNumberFormat="1" applyFont="1" applyFill="1" applyBorder="1" applyAlignment="1">
      <alignment horizontal="right" vertical="center"/>
    </xf>
    <xf numFmtId="1" fontId="14" fillId="15" borderId="1" xfId="0" applyNumberFormat="1" applyFont="1" applyFill="1" applyBorder="1" applyAlignment="1">
      <alignment horizontal="left" vertical="center"/>
    </xf>
    <xf numFmtId="1" fontId="14" fillId="4" borderId="1" xfId="0" applyNumberFormat="1" applyFont="1" applyFill="1" applyBorder="1" applyAlignment="1">
      <alignment horizontal="left" vertical="center"/>
    </xf>
    <xf numFmtId="0" fontId="59" fillId="30" borderId="0" xfId="0" applyFont="1" applyFill="1" applyAlignment="1">
      <alignment vertical="center" wrapText="1"/>
    </xf>
    <xf numFmtId="0" fontId="54" fillId="30" borderId="0" xfId="0" applyFont="1" applyFill="1" applyAlignment="1">
      <alignment vertical="center" wrapText="1"/>
    </xf>
    <xf numFmtId="0" fontId="14" fillId="4" borderId="24" xfId="0" applyFont="1" applyFill="1" applyBorder="1" applyAlignment="1">
      <alignment horizontal="left" vertical="center"/>
    </xf>
    <xf numFmtId="0" fontId="35" fillId="19" borderId="5" xfId="24" applyFill="1" applyBorder="1" applyAlignment="1">
      <alignment horizontal="left"/>
    </xf>
    <xf numFmtId="0" fontId="24" fillId="3" borderId="17" xfId="0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horizontal="center" vertical="center" wrapText="1"/>
    </xf>
    <xf numFmtId="0" fontId="39" fillId="22" borderId="4" xfId="1" applyFont="1" applyFill="1" applyBorder="1"/>
    <xf numFmtId="4" fontId="34" fillId="22" borderId="4" xfId="1" applyNumberFormat="1" applyFill="1" applyBorder="1"/>
    <xf numFmtId="0" fontId="21" fillId="5" borderId="4" xfId="0" applyFont="1" applyFill="1" applyBorder="1" applyAlignment="1">
      <alignment horizontal="left" vertical="center"/>
    </xf>
    <xf numFmtId="0" fontId="14" fillId="15" borderId="4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34" fillId="22" borderId="4" xfId="1" applyFill="1" applyBorder="1"/>
    <xf numFmtId="3" fontId="21" fillId="5" borderId="4" xfId="0" applyNumberFormat="1" applyFont="1" applyFill="1" applyBorder="1" applyAlignment="1">
      <alignment horizontal="left" vertical="center"/>
    </xf>
    <xf numFmtId="0" fontId="0" fillId="0" borderId="4" xfId="0" applyBorder="1"/>
    <xf numFmtId="0" fontId="24" fillId="25" borderId="17" xfId="0" applyFont="1" applyFill="1" applyBorder="1" applyAlignment="1">
      <alignment horizontal="center" vertical="center"/>
    </xf>
    <xf numFmtId="0" fontId="45" fillId="4" borderId="4" xfId="0" applyFont="1" applyFill="1" applyBorder="1" applyAlignment="1">
      <alignment horizontal="left" vertical="center"/>
    </xf>
    <xf numFmtId="0" fontId="28" fillId="16" borderId="0" xfId="0" applyFont="1" applyFill="1" applyAlignment="1">
      <alignment horizontal="left" vertical="center"/>
    </xf>
    <xf numFmtId="3" fontId="29" fillId="16" borderId="0" xfId="0" applyNumberFormat="1" applyFont="1" applyFill="1" applyAlignment="1">
      <alignment horizontal="right" vertical="center"/>
    </xf>
    <xf numFmtId="0" fontId="52" fillId="4" borderId="0" xfId="0" applyFont="1" applyFill="1" applyAlignment="1">
      <alignment horizontal="left" vertical="center" wrapText="1"/>
    </xf>
    <xf numFmtId="0" fontId="61" fillId="2" borderId="0" xfId="0" applyFont="1" applyFill="1" applyAlignment="1">
      <alignment vertical="center"/>
    </xf>
    <xf numFmtId="3" fontId="16" fillId="16" borderId="11" xfId="0" applyNumberFormat="1" applyFont="1" applyFill="1" applyBorder="1" applyAlignment="1">
      <alignment horizontal="right" vertical="center"/>
    </xf>
    <xf numFmtId="3" fontId="13" fillId="7" borderId="26" xfId="0" applyNumberFormat="1" applyFont="1" applyFill="1" applyBorder="1" applyAlignment="1">
      <alignment horizontal="right" vertical="center"/>
    </xf>
    <xf numFmtId="0" fontId="6" fillId="14" borderId="17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167" fontId="16" fillId="16" borderId="1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22" fillId="4" borderId="1" xfId="0" applyNumberFormat="1" applyFont="1" applyFill="1" applyBorder="1" applyAlignment="1">
      <alignment horizontal="right" vertical="center"/>
    </xf>
    <xf numFmtId="0" fontId="62" fillId="19" borderId="5" xfId="24" applyFont="1" applyFill="1" applyBorder="1" applyAlignment="1">
      <alignment horizontal="left"/>
    </xf>
    <xf numFmtId="0" fontId="62" fillId="19" borderId="4" xfId="24" applyFont="1" applyFill="1" applyBorder="1" applyAlignment="1">
      <alignment horizontal="left"/>
    </xf>
    <xf numFmtId="0" fontId="62" fillId="19" borderId="4" xfId="24" applyFont="1" applyFill="1" applyBorder="1"/>
    <xf numFmtId="3" fontId="62" fillId="19" borderId="4" xfId="24" applyNumberFormat="1" applyFont="1" applyFill="1" applyBorder="1"/>
    <xf numFmtId="3" fontId="62" fillId="19" borderId="4" xfId="20" applyNumberFormat="1" applyFont="1" applyFill="1" applyBorder="1"/>
    <xf numFmtId="165" fontId="62" fillId="19" borderId="4" xfId="20" applyNumberFormat="1" applyFont="1" applyFill="1" applyBorder="1"/>
    <xf numFmtId="0" fontId="63" fillId="5" borderId="4" xfId="0" applyFont="1" applyFill="1" applyBorder="1" applyAlignment="1">
      <alignment horizontal="left" vertical="center"/>
    </xf>
    <xf numFmtId="0" fontId="63" fillId="15" borderId="4" xfId="0" applyFont="1" applyFill="1" applyBorder="1" applyAlignment="1">
      <alignment horizontal="left" vertical="center"/>
    </xf>
    <xf numFmtId="0" fontId="34" fillId="19" borderId="5" xfId="24" applyFont="1" applyFill="1" applyBorder="1" applyAlignment="1">
      <alignment horizontal="left"/>
    </xf>
    <xf numFmtId="0" fontId="34" fillId="19" borderId="4" xfId="24" applyFont="1" applyFill="1" applyBorder="1" applyAlignment="1">
      <alignment horizontal="left"/>
    </xf>
    <xf numFmtId="0" fontId="34" fillId="19" borderId="4" xfId="24" applyFont="1" applyFill="1" applyBorder="1"/>
    <xf numFmtId="3" fontId="34" fillId="19" borderId="4" xfId="24" applyNumberFormat="1" applyFont="1" applyFill="1" applyBorder="1"/>
    <xf numFmtId="3" fontId="34" fillId="19" borderId="4" xfId="20" applyNumberFormat="1" applyFont="1" applyFill="1" applyBorder="1"/>
    <xf numFmtId="165" fontId="34" fillId="19" borderId="4" xfId="20" applyNumberFormat="1" applyFont="1" applyFill="1" applyBorder="1"/>
    <xf numFmtId="0" fontId="64" fillId="5" borderId="4" xfId="0" applyFont="1" applyFill="1" applyBorder="1" applyAlignment="1">
      <alignment horizontal="left" vertical="center"/>
    </xf>
    <xf numFmtId="0" fontId="64" fillId="15" borderId="4" xfId="0" applyFont="1" applyFill="1" applyBorder="1" applyAlignment="1">
      <alignment horizontal="left" vertical="center"/>
    </xf>
    <xf numFmtId="0" fontId="65" fillId="0" borderId="0" xfId="0" applyFont="1"/>
    <xf numFmtId="0" fontId="64" fillId="4" borderId="4" xfId="0" applyFont="1" applyFill="1" applyBorder="1" applyAlignment="1">
      <alignment horizontal="left" vertical="center"/>
    </xf>
    <xf numFmtId="0" fontId="66" fillId="31" borderId="0" xfId="0" applyFont="1" applyFill="1"/>
    <xf numFmtId="0" fontId="66" fillId="31" borderId="0" xfId="0" applyFont="1" applyFill="1" applyAlignment="1">
      <alignment horizontal="right"/>
    </xf>
    <xf numFmtId="0" fontId="67" fillId="0" borderId="0" xfId="0" applyFont="1"/>
    <xf numFmtId="0" fontId="0" fillId="0" borderId="27" xfId="0" applyBorder="1"/>
    <xf numFmtId="0" fontId="66" fillId="0" borderId="0" xfId="0" applyFont="1"/>
    <xf numFmtId="44" fontId="0" fillId="0" borderId="0" xfId="0" applyNumberFormat="1"/>
    <xf numFmtId="44" fontId="66" fillId="32" borderId="28" xfId="75" applyFont="1" applyFill="1" applyBorder="1"/>
    <xf numFmtId="0" fontId="3" fillId="2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5" fillId="18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53" fillId="14" borderId="0" xfId="0" applyFont="1" applyFill="1" applyAlignment="1">
      <alignment horizontal="left" vertical="center"/>
    </xf>
    <xf numFmtId="0" fontId="2" fillId="17" borderId="9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</cellXfs>
  <cellStyles count="76">
    <cellStyle name="Beregning" xfId="50" builtinId="22"/>
    <cellStyle name="Hyperkobling 2" xfId="32" xr:uid="{CCC53D98-B070-4301-B29A-182B6649F703}"/>
    <cellStyle name="Hyperkobling 3" xfId="18" xr:uid="{B3DAA929-1AF1-4C3B-BCA6-894DA4D66A5C}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  <cellStyle name="Valuta" xfId="75" builtinId="4"/>
  </cellStyles>
  <dxfs count="40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rond Kalhagen" id="{04D5B478-C5D5-4176-8205-8816F6E188AF}" userId="S::Trond.Kalhagen@ks.no::662852df-93e4-4f43-9227-e044dc320216" providerId="AD"/>
  <person displayName="Trond Kalhagen" id="{911B99A9-E7DB-4464-8EAD-9F1EFF56FEF8}" userId="S::trond.kalhagen@ks.no::662852df-93e4-4f43-9227-e044dc320216" providerId="AD"/>
  <person displayName="Martin Fjordholm" id="{D71A0D85-7051-4E12-A7E3-70684B594A2A}" userId="S::Martin.Fjordholm@ks.no::0e0b860f-8a3a-4ee6-8128-c624dc294c5c" providerId="AD"/>
  <person displayName="Christian Weisæth Monsbakken" id="{407A84A9-CBE1-42BE-8463-A21A0D4F1C77}" userId="S::Christian.Monsbakken@ks.no::5f90a6ca-332a-4fe5-8a98-8721b32bca42" providerId="AD"/>
  <person displayName="Levi Lervik" id="{AEF8C98F-38BD-495F-9565-1F89908FF539}" userId="S::Levi.Lervik@haram.kommune.no::66cf4f71-cfe0-4349-8ffd-6d0302bae55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9" headerRowBorderDxfId="38" tableBorderDxfId="37">
  <autoFilter ref="A2:O500" xr:uid="{EA30D17C-844F-4690-8D59-F86110B9966A}"/>
  <tableColumns count="15">
    <tableColumn id="1" xr3:uid="{7B5A68A0-6130-4C74-B8A0-FDA233CE4102}" name="År" dataDxfId="36"/>
    <tableColumn id="2" xr3:uid="{07AA8BB5-7A66-4865-A64E-66D0E1AF575F}" name="1A. Kommunenr:" dataDxfId="35"/>
    <tableColumn id="3" xr3:uid="{BBA5EBBF-51C5-452E-8AE1-4BE71CAB3EC9}" name="1A. Kommune:" dataDxfId="34"/>
    <tableColumn id="4" xr3:uid="{1A908CBA-6455-4ACB-B7F0-4490954F4378}" name="1A. Bydelsnummer:" dataDxfId="33"/>
    <tableColumn id="5" xr3:uid="{DE76D084-50B6-4AA6-9381-E552A1F701B6}" name="1A. Bydelsnavn:" dataDxfId="32"/>
    <tableColumn id="6" xr3:uid="{AE1A786B-B750-48B9-BDBC-B3636DAC0AFF}" name="1A. Fylkesnummer:" dataDxfId="31"/>
    <tableColumn id="7" xr3:uid="{B2E1812D-8640-4FB9-ACD9-EC2D58CC1F22}" name="1A. Fylkesnavn:" dataDxfId="30"/>
    <tableColumn id="8" xr3:uid="{E0E9B66B-9B93-4DD8-A952-7232BB0559FA}" name="1B. Barnehage:" dataDxfId="29"/>
    <tableColumn id="9" xr3:uid="{27927916-7A94-40E2-9F3A-CDDBA9E6C028}" name="1B. Organisasjonsnummer:" dataDxfId="28"/>
    <tableColumn id="10" xr3:uid="{95B12AAB-B109-4162-8ECA-E0B98C1AB800}" name="1C. Etablert drift(årstall):" dataDxfId="27"/>
    <tableColumn id="11" xr3:uid="{F28CB72A-9DB5-4578-9CCE-B2A34EAFB88E}" name="1D. Barnehagetype:" dataDxfId="26"/>
    <tableColumn id="12" xr3:uid="{9238FFAF-831F-4DD2-9686-3B65847F43DA}" name="2A. Barnehagens eier(Private eiere må fylle ut pkt.C):" dataDxfId="25"/>
    <tableColumn id="161" xr3:uid="{3ED7503D-0995-41C7-965E-52B48DE24BA6}" name="8E. Oppgi antall årsverk barnehagen har pensjonsforpliktelser for:" dataDxfId="24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Tabell6" displayName="Tabell6" ref="R3:S28" totalsRowShown="0" headerRowDxfId="23" headerRowBorderDxfId="22" tableBorderDxfId="21">
  <autoFilter ref="R3:S28" xr:uid="{E6F0859E-83A2-4B6B-85D8-5DF4876DAB0A}"/>
  <tableColumns count="2">
    <tableColumn id="1" xr3:uid="{EE094D7C-4244-4D03-B7D3-CF1966245CF4}" name="Gruppering*" dataDxfId="20"/>
    <tableColumn id="2" xr3:uid="{0CF0BAD8-F6E2-426D-89BF-B6AD22FBE03F}" name="Korrigert beløp som brukes i beregningen" dataDxfId="19">
      <calculatedColumnFormula>IFERROR(SUMIF(K$4:K$20070,R4,I$4:I$20070),0)+IFERROR(SUMIF(K$4:K$20070,R4,J$4:J$20070),0)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Tabell7" displayName="Tabell7" ref="V3:W27" totalsRowShown="0" headerRowDxfId="18" headerRowBorderDxfId="17" tableBorderDxfId="16" totalsRowBorderDxfId="15">
  <autoFilter ref="V3:W27" xr:uid="{4F23B1BB-CF25-4ED2-B5B3-EBDE6081235C}"/>
  <tableColumns count="2">
    <tableColumn id="1" xr3:uid="{2E91D950-ACAA-4694-AF14-16F15AFD5178}" name="Korreksjoner særskilte driftsforutsetninger" dataDxfId="14">
      <calculatedColumnFormula>IFERROR(SUMIF(K$4:K$20070,$U4,L$4:L$20070),0)</calculatedColumnFormula>
    </tableColumn>
    <tableColumn id="2" xr3:uid="{D4BD40F6-0DC9-4978-8088-DDADAA27E8D9}" name="Korreksjoner særskilte behov i barnegruppa" dataDxfId="13">
      <calculatedColumnFormula>+IFERROR(SUMIF(K$4:K$20070,$U4,M$4:M$20070),0)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2">
  <autoFilter ref="A1:C133" xr:uid="{2807211C-5E34-4EEF-B333-14B6D947BF07}"/>
  <tableColumns count="3">
    <tableColumn id="1" xr3:uid="{F09C4606-A6D4-493E-90C3-FDFE2422BD92}" name="Virksomhetsnr." dataDxfId="11"/>
    <tableColumn id="2" xr3:uid="{8BCEF14A-CE93-4C1B-996E-23E218248C92}" name="Navn" dataDxfId="10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9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7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6-03-24T11:40:14.33" personId="{911B99A9-E7DB-4464-8EAD-9F1EFF56FEF8}" id="{083D684B-E223-45B0-AB64-97864BE2A0E0}">
    <text>Vurdere om det bør være en egen kolonne for dette i malen med tanke på utgifter og tilskudd som skal holdes utenfor.</text>
  </threadedComment>
  <threadedComment ref="G3" dT="2026-03-24T14:25:13.01" personId="{D71A0D85-7051-4E12-A7E3-70684B594A2A}" id="{DD6AE7B8-F331-4292-885C-27914959B16D}" parentId="{083D684B-E223-45B0-AB64-97864BE2A0E0}">
    <text xml:space="preserve">Hvor bør denne være for å ikke påvirke rapporten? Hvordan ser rapporten ut?
</text>
  </threadedComment>
  <threadedComment ref="L3" dT="2026-03-24T09:59:55.29" personId="{911B99A9-E7DB-4464-8EAD-9F1EFF56FEF8}" id="{5E28AE86-EE61-44B6-ADDD-2F9CCD1290A2}">
    <text>Her må det vel ikke nødvendigvis være samme sum som i kolonne H. Kan det f.eks. tenkes at det er deler av lønnskostnad som skal holdes utenfor?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5" dT="2026-02-27T11:56:08.65" personId="{407A84A9-CBE1-42BE-8463-A21A0D4F1C77}" id="{AD1FEAD2-1582-4A6B-BE52-1758CA670B7E}">
    <text>Skal ta med sum- minus korreksjoner</text>
  </threadedComment>
  <threadedComment ref="C13" dT="2026-04-21T12:47:43.00" personId="{04D5B478-C5D5-4176-8205-8816F6E188AF}" id="{789D995A-76ED-46D3-BF47-647169B55091}">
    <text>Ligger ikke dette også i 700-serien? 690 finner jeg ikke i kostraveilederen, men 600-serien er vel ikke refusjoner men salgsinntekter?</text>
  </threadedComment>
  <threadedComment ref="C13" dT="2026-08-10T20:49:51.70" personId="{AEF8C98F-38BD-495F-9565-1F89908FF539}" id="{F7C31C16-51EF-469A-85AD-479AC7051AE1}" parentId="{789D995A-76ED-46D3-BF47-647169B55091}">
    <text>Art 690 er fordelte utgifter/ internsalg</text>
  </threadedComment>
</ThreadedComment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G41"/>
  <sheetViews>
    <sheetView showGridLines="0" tabSelected="1" zoomScaleNormal="100" workbookViewId="0">
      <selection activeCell="C13" sqref="C13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28.42578125" customWidth="1"/>
  </cols>
  <sheetData>
    <row r="1" spans="2:7" ht="36" customHeight="1" x14ac:dyDescent="0.25">
      <c r="B1" s="207" t="s">
        <v>0</v>
      </c>
      <c r="C1" s="206"/>
      <c r="D1" s="206"/>
      <c r="E1" s="206"/>
    </row>
    <row r="2" spans="2:7" ht="15.95" customHeight="1" x14ac:dyDescent="0.25">
      <c r="B2" s="212" t="s">
        <v>760</v>
      </c>
      <c r="C2" s="206"/>
      <c r="D2" s="206"/>
      <c r="E2" s="206"/>
    </row>
    <row r="3" spans="2:7" ht="9.9499999999999993" customHeight="1" x14ac:dyDescent="0.25"/>
    <row r="4" spans="2:7" ht="20.100000000000001" customHeight="1" x14ac:dyDescent="0.25">
      <c r="B4" s="209" t="s">
        <v>1</v>
      </c>
      <c r="C4" s="206"/>
      <c r="D4" s="206"/>
      <c r="E4" s="206"/>
    </row>
    <row r="5" spans="2:7" ht="18" customHeight="1" x14ac:dyDescent="0.25">
      <c r="B5" s="1" t="s">
        <v>2</v>
      </c>
      <c r="C5" s="2">
        <v>1580</v>
      </c>
      <c r="D5" s="77" t="str">
        <f>_xlfn.XLOOKUP($C$5,arbgiveravg[Kommunenr.],arbgiveravg[Kommunenavn])</f>
        <v>Haram</v>
      </c>
      <c r="E5" s="3" t="s">
        <v>3</v>
      </c>
    </row>
    <row r="6" spans="2:7" ht="18" customHeight="1" x14ac:dyDescent="0.25">
      <c r="B6" s="1" t="s">
        <v>723</v>
      </c>
      <c r="C6" s="2" t="s">
        <v>52</v>
      </c>
      <c r="D6" s="125"/>
      <c r="E6" s="3"/>
    </row>
    <row r="7" spans="2:7" ht="18" customHeight="1" x14ac:dyDescent="0.25">
      <c r="B7" s="1" t="s">
        <v>4</v>
      </c>
      <c r="C7" s="178">
        <v>2027</v>
      </c>
      <c r="E7" s="3" t="s">
        <v>5</v>
      </c>
    </row>
    <row r="8" spans="2:7" ht="18" customHeight="1" x14ac:dyDescent="0.25">
      <c r="B8" s="1" t="s">
        <v>784</v>
      </c>
      <c r="C8" s="179">
        <f>C7-1</f>
        <v>2026</v>
      </c>
      <c r="E8" s="3" t="s">
        <v>787</v>
      </c>
      <c r="F8" t="s">
        <v>785</v>
      </c>
    </row>
    <row r="9" spans="2:7" ht="18" customHeight="1" x14ac:dyDescent="0.25">
      <c r="B9" s="1" t="s">
        <v>6</v>
      </c>
      <c r="C9" s="179">
        <f>C7-2</f>
        <v>2025</v>
      </c>
      <c r="E9" s="3" t="s">
        <v>7</v>
      </c>
      <c r="F9" t="s">
        <v>786</v>
      </c>
    </row>
    <row r="10" spans="2:7" ht="18" customHeight="1" x14ac:dyDescent="0.25">
      <c r="B10" s="1" t="s">
        <v>8</v>
      </c>
      <c r="C10" s="179">
        <f>C7-3</f>
        <v>2024</v>
      </c>
      <c r="E10" s="3" t="s">
        <v>9</v>
      </c>
      <c r="F10" t="s">
        <v>786</v>
      </c>
    </row>
    <row r="11" spans="2:7" ht="18" customHeight="1" x14ac:dyDescent="0.25">
      <c r="B11" s="1" t="s">
        <v>10</v>
      </c>
      <c r="C11" s="135">
        <f>_xlfn.XLOOKUP($C$5,arbgiveravg[Kommunenr.],arbgiveravg[Sats])</f>
        <v>0.106</v>
      </c>
      <c r="E11" s="3" t="s">
        <v>11</v>
      </c>
      <c r="G11" t="s">
        <v>12</v>
      </c>
    </row>
    <row r="12" spans="2:7" ht="18" customHeight="1" x14ac:dyDescent="0.25">
      <c r="B12" s="1" t="s">
        <v>13</v>
      </c>
      <c r="C12" s="134">
        <v>4.7E-2</v>
      </c>
      <c r="E12" s="3" t="s">
        <v>14</v>
      </c>
    </row>
    <row r="13" spans="2:7" ht="18" customHeight="1" x14ac:dyDescent="0.25">
      <c r="B13" s="1" t="s">
        <v>15</v>
      </c>
      <c r="C13" s="4">
        <v>4.1000000000000002E-2</v>
      </c>
      <c r="E13" s="3" t="s">
        <v>776</v>
      </c>
      <c r="F13" t="s">
        <v>16</v>
      </c>
    </row>
    <row r="14" spans="2:7" ht="18" customHeight="1" x14ac:dyDescent="0.25">
      <c r="B14" s="1" t="s">
        <v>771</v>
      </c>
      <c r="C14" s="4">
        <v>3.4000000000000002E-2</v>
      </c>
      <c r="E14" s="3" t="s">
        <v>777</v>
      </c>
    </row>
    <row r="15" spans="2:7" ht="22.7" customHeight="1" x14ac:dyDescent="0.25">
      <c r="B15" s="1" t="s">
        <v>17</v>
      </c>
      <c r="C15" s="2">
        <v>7700</v>
      </c>
      <c r="E15" s="3" t="s">
        <v>747</v>
      </c>
      <c r="G15" t="s">
        <v>734</v>
      </c>
    </row>
    <row r="17" spans="2:7" ht="18" customHeight="1" x14ac:dyDescent="0.25">
      <c r="B17" s="1" t="s">
        <v>18</v>
      </c>
      <c r="C17" s="2">
        <f>'3a. Økonomirapport 201'!S32*-1</f>
        <v>117.77542033627189</v>
      </c>
      <c r="E17" s="3" t="s">
        <v>19</v>
      </c>
      <c r="G17" t="s">
        <v>20</v>
      </c>
    </row>
    <row r="19" spans="2:7" ht="9.9499999999999993" customHeight="1" x14ac:dyDescent="0.25"/>
    <row r="20" spans="2:7" ht="21.95" customHeight="1" x14ac:dyDescent="0.25">
      <c r="B20" s="216" t="s">
        <v>21</v>
      </c>
      <c r="C20" s="206"/>
      <c r="D20" s="206"/>
      <c r="E20" s="206"/>
    </row>
    <row r="21" spans="2:7" ht="36" customHeight="1" x14ac:dyDescent="0.25">
      <c r="B21" s="211" t="s">
        <v>22</v>
      </c>
      <c r="C21" s="206"/>
      <c r="D21" s="206"/>
      <c r="E21" s="206"/>
    </row>
    <row r="22" spans="2:7" ht="27.95" customHeight="1" x14ac:dyDescent="0.25">
      <c r="B22" s="5" t="s">
        <v>23</v>
      </c>
      <c r="C22" s="5" t="s">
        <v>24</v>
      </c>
      <c r="D22" s="5" t="s">
        <v>25</v>
      </c>
      <c r="E22" s="5" t="s">
        <v>736</v>
      </c>
    </row>
    <row r="23" spans="2:7" ht="48" x14ac:dyDescent="0.25">
      <c r="B23" s="6" t="s">
        <v>26</v>
      </c>
      <c r="C23" s="7">
        <v>0.05</v>
      </c>
      <c r="D23" s="177" t="s">
        <v>788</v>
      </c>
      <c r="E23" s="177" t="s">
        <v>789</v>
      </c>
    </row>
    <row r="24" spans="2:7" ht="36" x14ac:dyDescent="0.25">
      <c r="B24" s="6" t="s">
        <v>27</v>
      </c>
      <c r="C24" s="7">
        <v>0.08</v>
      </c>
      <c r="D24" s="177" t="s">
        <v>790</v>
      </c>
      <c r="E24" s="177" t="s">
        <v>791</v>
      </c>
    </row>
    <row r="25" spans="2:7" ht="36" x14ac:dyDescent="0.25">
      <c r="B25" s="6" t="s">
        <v>28</v>
      </c>
      <c r="C25" s="7">
        <v>0.11</v>
      </c>
      <c r="D25" s="177" t="s">
        <v>792</v>
      </c>
      <c r="E25" s="177" t="s">
        <v>793</v>
      </c>
    </row>
    <row r="27" spans="2:7" ht="9.9499999999999993" customHeight="1" x14ac:dyDescent="0.25"/>
    <row r="28" spans="2:7" ht="21.95" customHeight="1" x14ac:dyDescent="0.25">
      <c r="B28" s="215" t="s">
        <v>29</v>
      </c>
      <c r="C28" s="206"/>
      <c r="D28" s="206"/>
      <c r="E28" s="206"/>
    </row>
    <row r="29" spans="2:7" ht="32.1" customHeight="1" x14ac:dyDescent="0.25">
      <c r="B29" s="208" t="s">
        <v>30</v>
      </c>
      <c r="C29" s="206"/>
      <c r="D29" s="206"/>
      <c r="E29" s="206"/>
    </row>
    <row r="30" spans="2:7" ht="21.95" customHeight="1" x14ac:dyDescent="0.25">
      <c r="B30" s="9" t="s">
        <v>31</v>
      </c>
      <c r="C30" s="2"/>
      <c r="E30" s="8" t="s">
        <v>32</v>
      </c>
    </row>
    <row r="33" spans="2:5" ht="21.95" customHeight="1" x14ac:dyDescent="0.25">
      <c r="B33" s="214" t="s">
        <v>33</v>
      </c>
      <c r="C33" s="206"/>
      <c r="D33" s="206"/>
      <c r="E33" s="206"/>
    </row>
    <row r="34" spans="2:5" ht="20.100000000000001" customHeight="1" x14ac:dyDescent="0.25">
      <c r="B34" s="213" t="s">
        <v>34</v>
      </c>
      <c r="C34" s="206"/>
      <c r="D34" s="206"/>
      <c r="E34" s="206"/>
    </row>
    <row r="35" spans="2:5" ht="20.100000000000001" customHeight="1" x14ac:dyDescent="0.25">
      <c r="B35" s="206"/>
      <c r="C35" s="206"/>
      <c r="D35" s="206"/>
      <c r="E35" s="206"/>
    </row>
    <row r="36" spans="2:5" ht="20.100000000000001" customHeight="1" x14ac:dyDescent="0.25">
      <c r="B36" s="206"/>
      <c r="C36" s="206"/>
      <c r="D36" s="206"/>
      <c r="E36" s="206"/>
    </row>
    <row r="37" spans="2:5" ht="20.100000000000001" customHeight="1" x14ac:dyDescent="0.25">
      <c r="B37" s="206"/>
      <c r="C37" s="206"/>
      <c r="D37" s="206"/>
      <c r="E37" s="206"/>
    </row>
    <row r="39" spans="2:5" ht="9.9499999999999993" customHeight="1" x14ac:dyDescent="0.25"/>
    <row r="40" spans="2:5" ht="21.95" customHeight="1" x14ac:dyDescent="0.25">
      <c r="B40" s="209" t="s">
        <v>35</v>
      </c>
      <c r="C40" s="206"/>
      <c r="D40" s="206"/>
      <c r="E40" s="206"/>
    </row>
    <row r="41" spans="2:5" ht="44.1" customHeight="1" x14ac:dyDescent="0.25">
      <c r="B41" s="210" t="s">
        <v>36</v>
      </c>
      <c r="C41" s="206"/>
      <c r="D41" s="206"/>
      <c r="E41" s="206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V225"/>
  <sheetViews>
    <sheetView workbookViewId="0">
      <selection activeCell="J9" sqref="J9"/>
    </sheetView>
  </sheetViews>
  <sheetFormatPr baseColWidth="10" defaultColWidth="11.42578125" defaultRowHeight="15" x14ac:dyDescent="0.25"/>
  <sheetData>
    <row r="1" spans="1:22" x14ac:dyDescent="0.25">
      <c r="A1" s="92" t="s">
        <v>769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2" x14ac:dyDescent="0.25">
      <c r="A2" s="222" t="s">
        <v>781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</row>
    <row r="3" spans="1:22" ht="56.25" x14ac:dyDescent="0.25">
      <c r="A3" s="224" t="s">
        <v>61</v>
      </c>
      <c r="B3" s="206"/>
      <c r="C3" s="206"/>
      <c r="E3" s="91" t="s">
        <v>69</v>
      </c>
      <c r="J3" s="93"/>
      <c r="K3" s="94"/>
      <c r="L3" s="94"/>
      <c r="M3" s="229" t="s">
        <v>70</v>
      </c>
      <c r="N3" s="206"/>
      <c r="O3" s="23" t="s">
        <v>71</v>
      </c>
      <c r="P3" s="141" t="s">
        <v>728</v>
      </c>
      <c r="Q3" s="141" t="s">
        <v>729</v>
      </c>
      <c r="R3" s="141" t="s">
        <v>730</v>
      </c>
      <c r="S3" s="141" t="s">
        <v>72</v>
      </c>
      <c r="T3" s="23" t="s">
        <v>72</v>
      </c>
      <c r="U3" s="10" t="s">
        <v>73</v>
      </c>
      <c r="V3" s="10" t="s">
        <v>74</v>
      </c>
    </row>
    <row r="4" spans="1:22" ht="45.75" thickBot="1" x14ac:dyDescent="0.3">
      <c r="A4" s="10" t="s">
        <v>57</v>
      </c>
      <c r="B4" s="10" t="s">
        <v>55</v>
      </c>
      <c r="C4" s="10" t="s">
        <v>58</v>
      </c>
      <c r="D4" s="10"/>
      <c r="E4" s="11" t="s">
        <v>761</v>
      </c>
      <c r="F4" s="11" t="s">
        <v>764</v>
      </c>
      <c r="G4" s="11" t="s">
        <v>762</v>
      </c>
      <c r="H4" s="11" t="s">
        <v>763</v>
      </c>
      <c r="I4" s="11" t="s">
        <v>75</v>
      </c>
      <c r="J4" s="5" t="s">
        <v>76</v>
      </c>
      <c r="K4" s="126" t="s">
        <v>727</v>
      </c>
      <c r="L4" s="5" t="s">
        <v>77</v>
      </c>
      <c r="M4" s="22" t="s">
        <v>78</v>
      </c>
      <c r="N4" s="127" t="s">
        <v>79</v>
      </c>
      <c r="O4" s="23" t="s">
        <v>80</v>
      </c>
      <c r="P4" s="141" t="s">
        <v>80</v>
      </c>
      <c r="Q4" s="141" t="s">
        <v>80</v>
      </c>
      <c r="R4" s="141" t="s">
        <v>80</v>
      </c>
      <c r="S4" s="141" t="s">
        <v>81</v>
      </c>
      <c r="T4" s="23" t="s">
        <v>81</v>
      </c>
      <c r="U4" s="10" t="s">
        <v>82</v>
      </c>
      <c r="V4" s="10" t="s">
        <v>83</v>
      </c>
    </row>
    <row r="5" spans="1:22" ht="15.75" thickBot="1" x14ac:dyDescent="0.3">
      <c r="A5" s="17">
        <v>1</v>
      </c>
      <c r="B5" s="150">
        <f>'X. Satser pensjonstilskudd'!B5</f>
        <v>0</v>
      </c>
      <c r="C5" s="18">
        <f>'X. Satser pensjonstilskudd'!C5</f>
        <v>0</v>
      </c>
      <c r="D5" s="18" t="str">
        <f>IFERROR(_xlfn.XLOOKUP($C5,factPensjon[Virksomhetsnr.],factPensjon[Forpliktelser]),"")</f>
        <v/>
      </c>
      <c r="E5" s="19">
        <f>SUMIFS(BasilRadata[Heltidsplasser
0-2],BasilRadata[År],'0. Oppsett'!$C$8,BasilRadata[1B. Organisasjonsnummer:],$C5)</f>
        <v>0</v>
      </c>
      <c r="F5" s="25">
        <f>'4. Selvkost og satser'!$B$54</f>
        <v>288170.9461329499</v>
      </c>
      <c r="G5" s="19">
        <f>SUMIFS(BasilRadata[Heltidsplasser
3-6],BasilRadata[År],'0. Oppsett'!$C$8,BasilRadata[1B. Organisasjonsnummer:],$C5)</f>
        <v>0</v>
      </c>
      <c r="H5" s="25">
        <f>'4. Selvkost og satser'!$B$55</f>
        <v>156604.23359926464</v>
      </c>
      <c r="I5" s="26">
        <f>IFERROR(IF(B5="",0,E5*F5+G5*H5),0)</f>
        <v>0</v>
      </c>
      <c r="J5" s="20">
        <f>SUMIFS(BasilRadata[8E. Oppgi antall årsverk barnehagen har pensjonsforpliktelser for:],'1. BASIL-rådata'!$I$3:$I$500,'X. Satser pensjonstilskudd'!$C5,BasilRadata[År],'0. Oppsett'!$C$8)</f>
        <v>0</v>
      </c>
      <c r="K5" s="30" t="e">
        <f>_xlfn.XLOOKUP($C5,'X. Satser pensjonstilskudd'!C5:C224,'X. Satser pensjonstilskudd'!I5:I224)</f>
        <v>#DIV/0!</v>
      </c>
      <c r="L5" s="95" t="e">
        <f t="shared" ref="L5:L68" si="0">K5*J5</f>
        <v>#DIV/0!</v>
      </c>
      <c r="M5" s="31">
        <f t="shared" ref="M5:M68" si="1">E5+G5</f>
        <v>0</v>
      </c>
      <c r="N5" s="32">
        <f>IFERROR(M5*'0. Oppsett'!$C$30,0)</f>
        <v>0</v>
      </c>
      <c r="O5" s="33">
        <v>0</v>
      </c>
      <c r="P5" s="142"/>
      <c r="Q5" s="142"/>
      <c r="R5" s="142"/>
      <c r="S5" s="142">
        <v>0</v>
      </c>
      <c r="T5" s="33">
        <v>0</v>
      </c>
      <c r="U5" s="34">
        <v>0</v>
      </c>
      <c r="V5" s="35">
        <f t="shared" ref="V5:V10" si="2">IFERROR(IF(B5="",0,I5+L5+N5+O5+T5+U5),0)</f>
        <v>0</v>
      </c>
    </row>
    <row r="6" spans="1:22" ht="15.75" thickBot="1" x14ac:dyDescent="0.3">
      <c r="A6" s="21">
        <v>2</v>
      </c>
      <c r="B6" s="150">
        <f>'X. Satser pensjonstilskudd'!B6</f>
        <v>0</v>
      </c>
      <c r="C6" s="18">
        <f>'X. Satser pensjonstilskudd'!C6</f>
        <v>0</v>
      </c>
      <c r="D6" s="18" t="str">
        <f>IFERROR(_xlfn.XLOOKUP($C6,factPensjon[Virksomhetsnr.],factPensjon[Forpliktelser]),"")</f>
        <v/>
      </c>
      <c r="E6" s="19">
        <f>SUMIFS(BasilRadata[Heltidsplasser
0-2],BasilRadata[År],'0. Oppsett'!$C$8,BasilRadata[1B. Organisasjonsnummer:],$C6)</f>
        <v>0</v>
      </c>
      <c r="F6" s="25">
        <f>'4. Selvkost og satser'!$B$54</f>
        <v>288170.9461329499</v>
      </c>
      <c r="G6" s="19">
        <f>SUMIFS(BasilRadata[Heltidsplasser
3-6],BasilRadata[År],'0. Oppsett'!$C$8,BasilRadata[1B. Organisasjonsnummer:],$C6)</f>
        <v>0</v>
      </c>
      <c r="H6" s="25">
        <f>'4. Selvkost og satser'!$B$55</f>
        <v>156604.23359926464</v>
      </c>
      <c r="I6" s="26">
        <f t="shared" ref="I6:I68" si="3">IFERROR(IF(B6="",0,E6*F6+G6*H6),0)</f>
        <v>0</v>
      </c>
      <c r="J6" s="20">
        <f>SUMIFS(BasilRadata[8E. Oppgi antall årsverk barnehagen har pensjonsforpliktelser for:],'1. BASIL-rådata'!$I$3:$I$500,'X. Satser pensjonstilskudd'!$C6,BasilRadata[År],'0. Oppsett'!$C$8)</f>
        <v>0</v>
      </c>
      <c r="K6" s="30" t="e">
        <f>_xlfn.XLOOKUP(C6,'X. Satser pensjonstilskudd'!C6:C225,'X. Satser pensjonstilskudd'!I6:I225)</f>
        <v>#N/A</v>
      </c>
      <c r="L6" s="95" t="e">
        <f t="shared" si="0"/>
        <v>#N/A</v>
      </c>
      <c r="M6" s="31">
        <f t="shared" si="1"/>
        <v>0</v>
      </c>
      <c r="N6" s="32">
        <f>IFERROR(M6*'0. Oppsett'!$C$30,0)</f>
        <v>0</v>
      </c>
      <c r="O6" s="33">
        <v>0</v>
      </c>
      <c r="P6" s="142"/>
      <c r="Q6" s="142"/>
      <c r="R6" s="142"/>
      <c r="S6" s="142">
        <v>0</v>
      </c>
      <c r="T6" s="33">
        <v>0</v>
      </c>
      <c r="U6" s="34">
        <v>0</v>
      </c>
      <c r="V6" s="35">
        <f t="shared" si="2"/>
        <v>0</v>
      </c>
    </row>
    <row r="7" spans="1:22" ht="15.75" thickBot="1" x14ac:dyDescent="0.3">
      <c r="A7" s="17">
        <v>3</v>
      </c>
      <c r="B7" s="150">
        <f>'X. Satser pensjonstilskudd'!B7</f>
        <v>0</v>
      </c>
      <c r="C7" s="18">
        <f>'X. Satser pensjonstilskudd'!C7</f>
        <v>0</v>
      </c>
      <c r="D7" s="18" t="str">
        <f>IFERROR(_xlfn.XLOOKUP($C7,factPensjon[Virksomhetsnr.],factPensjon[Forpliktelser]),"")</f>
        <v/>
      </c>
      <c r="E7" s="19">
        <f>SUMIFS(BasilRadata[Heltidsplasser
0-2],BasilRadata[År],'0. Oppsett'!$C$8,BasilRadata[1B. Organisasjonsnummer:],$C7)</f>
        <v>0</v>
      </c>
      <c r="F7" s="25">
        <f>'4. Selvkost og satser'!$B$54</f>
        <v>288170.9461329499</v>
      </c>
      <c r="G7" s="19">
        <f>SUMIFS(BasilRadata[Heltidsplasser
3-6],BasilRadata[År],'0. Oppsett'!$C$8,BasilRadata[1B. Organisasjonsnummer:],$C7)</f>
        <v>0</v>
      </c>
      <c r="H7" s="25">
        <f>'4. Selvkost og satser'!$B$55</f>
        <v>156604.23359926464</v>
      </c>
      <c r="I7" s="26">
        <f t="shared" si="3"/>
        <v>0</v>
      </c>
      <c r="J7" s="20">
        <f>SUMIFS(BasilRadata[8E. Oppgi antall årsverk barnehagen har pensjonsforpliktelser for:],'1. BASIL-rådata'!$I$3:$I$500,'X. Satser pensjonstilskudd'!$C7,BasilRadata[År],'0. Oppsett'!$C$8)</f>
        <v>0</v>
      </c>
      <c r="K7" s="30" t="e">
        <f>_xlfn.XLOOKUP(C7,'X. Satser pensjonstilskudd'!C7:C226,'X. Satser pensjonstilskudd'!I7:I226)</f>
        <v>#N/A</v>
      </c>
      <c r="L7" s="95" t="e">
        <f t="shared" si="0"/>
        <v>#N/A</v>
      </c>
      <c r="M7" s="31">
        <f t="shared" si="1"/>
        <v>0</v>
      </c>
      <c r="N7" s="32">
        <f>IFERROR(M7*'0. Oppsett'!$C$30,0)</f>
        <v>0</v>
      </c>
      <c r="O7" s="33">
        <v>0</v>
      </c>
      <c r="P7" s="142"/>
      <c r="Q7" s="142"/>
      <c r="R7" s="142"/>
      <c r="S7" s="142">
        <v>0</v>
      </c>
      <c r="T7" s="33">
        <v>0</v>
      </c>
      <c r="U7" s="34">
        <v>0</v>
      </c>
      <c r="V7" s="35">
        <f t="shared" si="2"/>
        <v>0</v>
      </c>
    </row>
    <row r="8" spans="1:22" ht="15.75" thickBot="1" x14ac:dyDescent="0.3">
      <c r="A8" s="21">
        <v>4</v>
      </c>
      <c r="B8" s="150">
        <f>'X. Satser pensjonstilskudd'!B8</f>
        <v>0</v>
      </c>
      <c r="C8" s="18">
        <f>'X. Satser pensjonstilskudd'!C8</f>
        <v>0</v>
      </c>
      <c r="D8" s="18" t="str">
        <f>IFERROR(_xlfn.XLOOKUP($C8,factPensjon[Virksomhetsnr.],factPensjon[Forpliktelser]),"")</f>
        <v/>
      </c>
      <c r="E8" s="19">
        <f>SUMIFS(BasilRadata[Heltidsplasser
0-2],BasilRadata[År],'0. Oppsett'!$C$8,BasilRadata[1B. Organisasjonsnummer:],$C8)</f>
        <v>0</v>
      </c>
      <c r="F8" s="25">
        <f>'4. Selvkost og satser'!$B$54</f>
        <v>288170.9461329499</v>
      </c>
      <c r="G8" s="19">
        <f>SUMIFS(BasilRadata[Heltidsplasser
3-6],BasilRadata[År],'0. Oppsett'!$C$8,BasilRadata[1B. Organisasjonsnummer:],$C8)</f>
        <v>0</v>
      </c>
      <c r="H8" s="25">
        <f>'4. Selvkost og satser'!$B$55</f>
        <v>156604.23359926464</v>
      </c>
      <c r="I8" s="26">
        <f t="shared" si="3"/>
        <v>0</v>
      </c>
      <c r="J8" s="20">
        <f>SUMIFS(BasilRadata[8E. Oppgi antall årsverk barnehagen har pensjonsforpliktelser for:],'1. BASIL-rådata'!$I$3:$I$500,'X. Satser pensjonstilskudd'!$C8,BasilRadata[År],'0. Oppsett'!$C$8)</f>
        <v>0</v>
      </c>
      <c r="K8" s="30" t="e">
        <f>_xlfn.XLOOKUP(C8,'X. Satser pensjonstilskudd'!C8:C227,'X. Satser pensjonstilskudd'!I8:I227)</f>
        <v>#N/A</v>
      </c>
      <c r="L8" s="95" t="e">
        <f t="shared" si="0"/>
        <v>#N/A</v>
      </c>
      <c r="M8" s="31">
        <f t="shared" si="1"/>
        <v>0</v>
      </c>
      <c r="N8" s="32">
        <f>IFERROR(M8*'0. Oppsett'!$C$30,0)</f>
        <v>0</v>
      </c>
      <c r="O8" s="33">
        <v>0</v>
      </c>
      <c r="P8" s="142"/>
      <c r="Q8" s="142"/>
      <c r="R8" s="142"/>
      <c r="S8" s="142">
        <v>0</v>
      </c>
      <c r="T8" s="33">
        <v>0</v>
      </c>
      <c r="U8" s="34">
        <v>0</v>
      </c>
      <c r="V8" s="35">
        <f t="shared" si="2"/>
        <v>0</v>
      </c>
    </row>
    <row r="9" spans="1:22" ht="15.75" thickBot="1" x14ac:dyDescent="0.3">
      <c r="A9" s="17">
        <v>5</v>
      </c>
      <c r="B9" s="150">
        <f>'X. Satser pensjonstilskudd'!B9</f>
        <v>0</v>
      </c>
      <c r="C9" s="18">
        <f>'X. Satser pensjonstilskudd'!C9</f>
        <v>0</v>
      </c>
      <c r="D9" s="18" t="str">
        <f>IFERROR(_xlfn.XLOOKUP($C9,factPensjon[Virksomhetsnr.],factPensjon[Forpliktelser]),"")</f>
        <v/>
      </c>
      <c r="E9" s="19">
        <f>SUMIFS(BasilRadata[Heltidsplasser
0-2],BasilRadata[År],'0. Oppsett'!$C$8,BasilRadata[1B. Organisasjonsnummer:],$C9)</f>
        <v>0</v>
      </c>
      <c r="F9" s="25">
        <f>'4. Selvkost og satser'!$B$54</f>
        <v>288170.9461329499</v>
      </c>
      <c r="G9" s="19">
        <f>SUMIFS(BasilRadata[Heltidsplasser
3-6],BasilRadata[År],'0. Oppsett'!$C$8,BasilRadata[1B. Organisasjonsnummer:],$C9)</f>
        <v>0</v>
      </c>
      <c r="H9" s="25">
        <f>'4. Selvkost og satser'!$B$55</f>
        <v>156604.23359926464</v>
      </c>
      <c r="I9" s="26">
        <f t="shared" si="3"/>
        <v>0</v>
      </c>
      <c r="J9" s="20">
        <f>SUMIFS(BasilRadata[8E. Oppgi antall årsverk barnehagen har pensjonsforpliktelser for:],'1. BASIL-rådata'!$I$3:$I$500,'X. Satser pensjonstilskudd'!$C9,BasilRadata[År],'0. Oppsett'!$C$8)</f>
        <v>0</v>
      </c>
      <c r="K9" s="30" t="e">
        <f>_xlfn.XLOOKUP(C9,'X. Satser pensjonstilskudd'!C9:C228,'X. Satser pensjonstilskudd'!I9:I228)</f>
        <v>#N/A</v>
      </c>
      <c r="L9" s="95" t="e">
        <f t="shared" si="0"/>
        <v>#N/A</v>
      </c>
      <c r="M9" s="31">
        <f t="shared" si="1"/>
        <v>0</v>
      </c>
      <c r="N9" s="32">
        <f>IFERROR(M9*'0. Oppsett'!$C$30,0)</f>
        <v>0</v>
      </c>
      <c r="O9" s="33">
        <v>0</v>
      </c>
      <c r="P9" s="142"/>
      <c r="Q9" s="142"/>
      <c r="R9" s="142"/>
      <c r="S9" s="142">
        <v>0</v>
      </c>
      <c r="T9" s="33">
        <v>0</v>
      </c>
      <c r="U9" s="34">
        <v>0</v>
      </c>
      <c r="V9" s="35">
        <f t="shared" si="2"/>
        <v>0</v>
      </c>
    </row>
    <row r="10" spans="1:22" ht="15.75" thickBot="1" x14ac:dyDescent="0.3">
      <c r="A10" s="21">
        <v>6</v>
      </c>
      <c r="B10" s="150">
        <f>'X. Satser pensjonstilskudd'!B10</f>
        <v>0</v>
      </c>
      <c r="C10" s="18">
        <f>'X. Satser pensjonstilskudd'!C10</f>
        <v>0</v>
      </c>
      <c r="D10" s="18" t="str">
        <f>IFERROR(_xlfn.XLOOKUP($C10,factPensjon[Virksomhetsnr.],factPensjon[Forpliktelser]),"")</f>
        <v/>
      </c>
      <c r="E10" s="19">
        <f>SUMIFS(BasilRadata[Heltidsplasser
0-2],BasilRadata[År],'0. Oppsett'!$C$8,BasilRadata[1B. Organisasjonsnummer:],$C10)</f>
        <v>0</v>
      </c>
      <c r="F10" s="25">
        <f>'4. Selvkost og satser'!$B$54</f>
        <v>288170.9461329499</v>
      </c>
      <c r="G10" s="19">
        <f>SUMIFS(BasilRadata[Heltidsplasser
3-6],BasilRadata[År],'0. Oppsett'!$C$8,BasilRadata[1B. Organisasjonsnummer:],$C10)</f>
        <v>0</v>
      </c>
      <c r="H10" s="25">
        <f>'4. Selvkost og satser'!$B$55</f>
        <v>156604.23359926464</v>
      </c>
      <c r="I10" s="26">
        <f t="shared" si="3"/>
        <v>0</v>
      </c>
      <c r="J10" s="20">
        <f>SUMIFS(BasilRadata[8E. Oppgi antall årsverk barnehagen har pensjonsforpliktelser for:],'1. BASIL-rådata'!$I$3:$I$500,'X. Satser pensjonstilskudd'!$C10,BasilRadata[År],'0. Oppsett'!$C$8)</f>
        <v>0</v>
      </c>
      <c r="K10" s="30" t="e">
        <f>_xlfn.XLOOKUP(C10,'X. Satser pensjonstilskudd'!C10:C229,'X. Satser pensjonstilskudd'!I10:I229)</f>
        <v>#N/A</v>
      </c>
      <c r="L10" s="95" t="e">
        <f t="shared" si="0"/>
        <v>#N/A</v>
      </c>
      <c r="M10" s="31">
        <f t="shared" si="1"/>
        <v>0</v>
      </c>
      <c r="N10" s="32">
        <f>IFERROR(M10*'0. Oppsett'!$C$30,0)</f>
        <v>0</v>
      </c>
      <c r="O10" s="33">
        <v>0</v>
      </c>
      <c r="P10" s="142"/>
      <c r="Q10" s="142"/>
      <c r="R10" s="142"/>
      <c r="S10" s="142">
        <v>0</v>
      </c>
      <c r="T10" s="33">
        <v>0</v>
      </c>
      <c r="U10" s="34">
        <v>0</v>
      </c>
      <c r="V10" s="35">
        <f t="shared" si="2"/>
        <v>0</v>
      </c>
    </row>
    <row r="11" spans="1:22" ht="15.75" thickBot="1" x14ac:dyDescent="0.3">
      <c r="A11" s="17">
        <v>7</v>
      </c>
      <c r="B11" s="150">
        <f>'X. Satser pensjonstilskudd'!B11</f>
        <v>0</v>
      </c>
      <c r="C11" s="18">
        <f>'X. Satser pensjonstilskudd'!C11</f>
        <v>0</v>
      </c>
      <c r="D11" s="18" t="str">
        <f>IFERROR(_xlfn.XLOOKUP($C11,factPensjon[Virksomhetsnr.],factPensjon[Forpliktelser]),"")</f>
        <v/>
      </c>
      <c r="E11" s="19">
        <f>SUMIFS(BasilRadata[Heltidsplasser
0-2],BasilRadata[År],'0. Oppsett'!$C$8,BasilRadata[1B. Organisasjonsnummer:],$C11)</f>
        <v>0</v>
      </c>
      <c r="F11" s="25">
        <f>'4. Selvkost og satser'!$B$54</f>
        <v>288170.9461329499</v>
      </c>
      <c r="G11" s="19">
        <f>SUMIFS(BasilRadata[Heltidsplasser
3-6],BasilRadata[År],'0. Oppsett'!$C$8,BasilRadata[1B. Organisasjonsnummer:],$C11)</f>
        <v>0</v>
      </c>
      <c r="H11" s="25">
        <f>'4. Selvkost og satser'!$B$55</f>
        <v>156604.23359926464</v>
      </c>
      <c r="I11" s="26">
        <f t="shared" si="3"/>
        <v>0</v>
      </c>
      <c r="J11" s="20">
        <f>SUMIFS(BasilRadata[8E. Oppgi antall årsverk barnehagen har pensjonsforpliktelser for:],'1. BASIL-rådata'!$I$3:$I$500,'X. Satser pensjonstilskudd'!$C11,BasilRadata[År],'0. Oppsett'!$C$8)</f>
        <v>0</v>
      </c>
      <c r="K11" s="30" t="e">
        <f>_xlfn.XLOOKUP(C11,'X. Satser pensjonstilskudd'!C11:C230,'X. Satser pensjonstilskudd'!I11:I230)</f>
        <v>#N/A</v>
      </c>
      <c r="L11" s="95" t="e">
        <f t="shared" si="0"/>
        <v>#N/A</v>
      </c>
      <c r="M11" s="31">
        <f t="shared" si="1"/>
        <v>0</v>
      </c>
      <c r="N11" s="32">
        <f>IFERROR(M11*'0. Oppsett'!$C$30,0)</f>
        <v>0</v>
      </c>
      <c r="O11" s="33">
        <v>0</v>
      </c>
      <c r="P11" s="142"/>
      <c r="Q11" s="142"/>
      <c r="R11" s="142"/>
      <c r="S11" s="142">
        <v>0</v>
      </c>
      <c r="T11" s="33">
        <v>0</v>
      </c>
      <c r="U11" s="34">
        <v>0</v>
      </c>
      <c r="V11" s="35">
        <f t="shared" ref="V11:V74" si="4">IFERROR(IF(B11="",0,I11+K11+N11+O11+T11+U11),0)</f>
        <v>0</v>
      </c>
    </row>
    <row r="12" spans="1:22" ht="15.75" thickBot="1" x14ac:dyDescent="0.3">
      <c r="A12" s="21">
        <v>8</v>
      </c>
      <c r="B12" s="150">
        <f>'X. Satser pensjonstilskudd'!B12</f>
        <v>0</v>
      </c>
      <c r="C12" s="18">
        <f>'X. Satser pensjonstilskudd'!C12</f>
        <v>0</v>
      </c>
      <c r="D12" s="18" t="str">
        <f>IFERROR(_xlfn.XLOOKUP($C12,factPensjon[Virksomhetsnr.],factPensjon[Forpliktelser]),"")</f>
        <v/>
      </c>
      <c r="E12" s="19">
        <f>SUMIFS(BasilRadata[Heltidsplasser
0-2],BasilRadata[År],'0. Oppsett'!$C$8,BasilRadata[1B. Organisasjonsnummer:],$C12)</f>
        <v>0</v>
      </c>
      <c r="F12" s="25">
        <f>'4. Selvkost og satser'!$B$54</f>
        <v>288170.9461329499</v>
      </c>
      <c r="G12" s="19">
        <f>SUMIFS(BasilRadata[Heltidsplasser
3-6],BasilRadata[År],'0. Oppsett'!$C$8,BasilRadata[1B. Organisasjonsnummer:],$C12)</f>
        <v>0</v>
      </c>
      <c r="H12" s="25">
        <f>'4. Selvkost og satser'!$B$55</f>
        <v>156604.23359926464</v>
      </c>
      <c r="I12" s="26">
        <f t="shared" si="3"/>
        <v>0</v>
      </c>
      <c r="J12" s="20">
        <f>SUMIFS(BasilRadata[8E. Oppgi antall årsverk barnehagen har pensjonsforpliktelser for:],'1. BASIL-rådata'!$I$3:$I$500,'X. Satser pensjonstilskudd'!$C12,BasilRadata[År],'0. Oppsett'!$C$8)</f>
        <v>0</v>
      </c>
      <c r="K12" s="30" t="e">
        <f>_xlfn.XLOOKUP(C12,'X. Satser pensjonstilskudd'!C12:C231,'X. Satser pensjonstilskudd'!I12:I231)</f>
        <v>#N/A</v>
      </c>
      <c r="L12" s="95" t="e">
        <f t="shared" si="0"/>
        <v>#N/A</v>
      </c>
      <c r="M12" s="31">
        <f t="shared" si="1"/>
        <v>0</v>
      </c>
      <c r="N12" s="32">
        <f>IFERROR(M12*'0. Oppsett'!$C$30,0)</f>
        <v>0</v>
      </c>
      <c r="O12" s="33">
        <v>0</v>
      </c>
      <c r="P12" s="142"/>
      <c r="Q12" s="142"/>
      <c r="R12" s="142"/>
      <c r="S12" s="142">
        <v>0</v>
      </c>
      <c r="T12" s="33">
        <v>0</v>
      </c>
      <c r="U12" s="34">
        <v>0</v>
      </c>
      <c r="V12" s="35">
        <f t="shared" si="4"/>
        <v>0</v>
      </c>
    </row>
    <row r="13" spans="1:22" ht="15.75" thickBot="1" x14ac:dyDescent="0.3">
      <c r="A13" s="17">
        <v>9</v>
      </c>
      <c r="B13" s="150">
        <f>'X. Satser pensjonstilskudd'!B13</f>
        <v>0</v>
      </c>
      <c r="C13" s="18">
        <f>'X. Satser pensjonstilskudd'!C13</f>
        <v>0</v>
      </c>
      <c r="D13" s="18" t="str">
        <f>IFERROR(_xlfn.XLOOKUP($C13,factPensjon[Virksomhetsnr.],factPensjon[Forpliktelser]),"")</f>
        <v/>
      </c>
      <c r="E13" s="19">
        <f>SUMIFS(BasilRadata[Heltidsplasser
0-2],BasilRadata[År],'0. Oppsett'!$C$8,BasilRadata[1B. Organisasjonsnummer:],$C13)</f>
        <v>0</v>
      </c>
      <c r="F13" s="25">
        <f>'4. Selvkost og satser'!$B$54</f>
        <v>288170.9461329499</v>
      </c>
      <c r="G13" s="19">
        <f>SUMIFS(BasilRadata[Heltidsplasser
3-6],BasilRadata[År],'0. Oppsett'!$C$8,BasilRadata[1B. Organisasjonsnummer:],$C13)</f>
        <v>0</v>
      </c>
      <c r="H13" s="25">
        <f>'4. Selvkost og satser'!$B$55</f>
        <v>156604.23359926464</v>
      </c>
      <c r="I13" s="26">
        <f t="shared" si="3"/>
        <v>0</v>
      </c>
      <c r="J13" s="20">
        <f>SUMIFS(BasilRadata[8E. Oppgi antall årsverk barnehagen har pensjonsforpliktelser for:],'1. BASIL-rådata'!$I$3:$I$500,'X. Satser pensjonstilskudd'!$C13,BasilRadata[År],'0. Oppsett'!$C$8)</f>
        <v>0</v>
      </c>
      <c r="K13" s="30" t="e">
        <f>_xlfn.XLOOKUP(C13,'X. Satser pensjonstilskudd'!C13:C232,'X. Satser pensjonstilskudd'!I13:I232)</f>
        <v>#N/A</v>
      </c>
      <c r="L13" s="95" t="e">
        <f t="shared" si="0"/>
        <v>#N/A</v>
      </c>
      <c r="M13" s="31">
        <f t="shared" si="1"/>
        <v>0</v>
      </c>
      <c r="N13" s="32">
        <f>IFERROR(M13*'0. Oppsett'!$C$30,0)</f>
        <v>0</v>
      </c>
      <c r="O13" s="33">
        <v>0</v>
      </c>
      <c r="P13" s="142"/>
      <c r="Q13" s="142"/>
      <c r="R13" s="142"/>
      <c r="S13" s="142">
        <v>0</v>
      </c>
      <c r="T13" s="33">
        <v>0</v>
      </c>
      <c r="U13" s="34">
        <v>0</v>
      </c>
      <c r="V13" s="35">
        <f t="shared" si="4"/>
        <v>0</v>
      </c>
    </row>
    <row r="14" spans="1:22" ht="15.75" thickBot="1" x14ac:dyDescent="0.3">
      <c r="A14" s="21">
        <v>10</v>
      </c>
      <c r="B14" s="150">
        <f>'X. Satser pensjonstilskudd'!B14</f>
        <v>0</v>
      </c>
      <c r="C14" s="18">
        <f>'X. Satser pensjonstilskudd'!C14</f>
        <v>0</v>
      </c>
      <c r="D14" s="18" t="str">
        <f>IFERROR(_xlfn.XLOOKUP($C14,factPensjon[Virksomhetsnr.],factPensjon[Forpliktelser]),"")</f>
        <v/>
      </c>
      <c r="E14" s="19">
        <f>SUMIFS(BasilRadata[Heltidsplasser
0-2],BasilRadata[År],'0. Oppsett'!$C$8,BasilRadata[1B. Organisasjonsnummer:],$C14)</f>
        <v>0</v>
      </c>
      <c r="F14" s="25">
        <f>'4. Selvkost og satser'!$B$54</f>
        <v>288170.9461329499</v>
      </c>
      <c r="G14" s="19">
        <f>SUMIFS(BasilRadata[Heltidsplasser
3-6],BasilRadata[År],'0. Oppsett'!$C$8,BasilRadata[1B. Organisasjonsnummer:],$C14)</f>
        <v>0</v>
      </c>
      <c r="H14" s="25">
        <f>'4. Selvkost og satser'!$B$55</f>
        <v>156604.23359926464</v>
      </c>
      <c r="I14" s="26">
        <f t="shared" si="3"/>
        <v>0</v>
      </c>
      <c r="J14" s="20">
        <f>SUMIFS(BasilRadata[8E. Oppgi antall årsverk barnehagen har pensjonsforpliktelser for:],'1. BASIL-rådata'!$I$3:$I$500,'X. Satser pensjonstilskudd'!$C14,BasilRadata[År],'0. Oppsett'!$C$8)</f>
        <v>0</v>
      </c>
      <c r="K14" s="30" t="e">
        <f>_xlfn.XLOOKUP(C14,'X. Satser pensjonstilskudd'!C14:C233,'X. Satser pensjonstilskudd'!I14:I233)</f>
        <v>#N/A</v>
      </c>
      <c r="L14" s="95" t="e">
        <f t="shared" si="0"/>
        <v>#N/A</v>
      </c>
      <c r="M14" s="31">
        <f t="shared" si="1"/>
        <v>0</v>
      </c>
      <c r="N14" s="32">
        <f>IFERROR(M14*'0. Oppsett'!$C$30,0)</f>
        <v>0</v>
      </c>
      <c r="O14" s="33">
        <v>0</v>
      </c>
      <c r="P14" s="142"/>
      <c r="Q14" s="142"/>
      <c r="R14" s="142"/>
      <c r="S14" s="142">
        <v>0</v>
      </c>
      <c r="T14" s="33">
        <v>0</v>
      </c>
      <c r="U14" s="34">
        <v>0</v>
      </c>
      <c r="V14" s="35">
        <f t="shared" si="4"/>
        <v>0</v>
      </c>
    </row>
    <row r="15" spans="1:22" ht="15.75" thickBot="1" x14ac:dyDescent="0.3">
      <c r="A15" s="17">
        <v>11</v>
      </c>
      <c r="B15" s="150">
        <f>'X. Satser pensjonstilskudd'!B15</f>
        <v>0</v>
      </c>
      <c r="C15" s="18">
        <f>'X. Satser pensjonstilskudd'!C15</f>
        <v>0</v>
      </c>
      <c r="D15" s="18" t="str">
        <f>IFERROR(_xlfn.XLOOKUP($C15,factPensjon[Virksomhetsnr.],factPensjon[Forpliktelser]),"")</f>
        <v/>
      </c>
      <c r="E15" s="19">
        <f>SUMIFS(BasilRadata[Heltidsplasser
0-2],BasilRadata[År],'0. Oppsett'!$C$8,BasilRadata[1B. Organisasjonsnummer:],$C15)</f>
        <v>0</v>
      </c>
      <c r="F15" s="25">
        <f>'4. Selvkost og satser'!$B$54</f>
        <v>288170.9461329499</v>
      </c>
      <c r="G15" s="19">
        <f>SUMIFS(BasilRadata[Heltidsplasser
3-6],BasilRadata[År],'0. Oppsett'!$C$8,BasilRadata[1B. Organisasjonsnummer:],$C15)</f>
        <v>0</v>
      </c>
      <c r="H15" s="25">
        <f>'4. Selvkost og satser'!$B$55</f>
        <v>156604.23359926464</v>
      </c>
      <c r="I15" s="26">
        <f t="shared" si="3"/>
        <v>0</v>
      </c>
      <c r="J15" s="20">
        <f>SUMIFS(BasilRadata[8E. Oppgi antall årsverk barnehagen har pensjonsforpliktelser for:],'1. BASIL-rådata'!$I$3:$I$500,'X. Satser pensjonstilskudd'!$C15,BasilRadata[År],'0. Oppsett'!$C$8)</f>
        <v>0</v>
      </c>
      <c r="K15" s="30" t="e">
        <f>_xlfn.XLOOKUP(C15,'X. Satser pensjonstilskudd'!C15:C234,'X. Satser pensjonstilskudd'!I15:I234)</f>
        <v>#N/A</v>
      </c>
      <c r="L15" s="95" t="e">
        <f t="shared" si="0"/>
        <v>#N/A</v>
      </c>
      <c r="M15" s="31">
        <f t="shared" si="1"/>
        <v>0</v>
      </c>
      <c r="N15" s="32">
        <f>IFERROR(M15*'0. Oppsett'!$C$30,0)</f>
        <v>0</v>
      </c>
      <c r="O15" s="33">
        <v>0</v>
      </c>
      <c r="P15" s="142"/>
      <c r="Q15" s="142"/>
      <c r="R15" s="142"/>
      <c r="S15" s="142">
        <v>0</v>
      </c>
      <c r="T15" s="33">
        <v>0</v>
      </c>
      <c r="U15" s="34">
        <v>0</v>
      </c>
      <c r="V15" s="35">
        <f t="shared" si="4"/>
        <v>0</v>
      </c>
    </row>
    <row r="16" spans="1:22" ht="15.75" thickBot="1" x14ac:dyDescent="0.3">
      <c r="A16" s="21">
        <v>12</v>
      </c>
      <c r="B16" s="150">
        <f>'X. Satser pensjonstilskudd'!B16</f>
        <v>0</v>
      </c>
      <c r="C16" s="18">
        <f>'X. Satser pensjonstilskudd'!C16</f>
        <v>0</v>
      </c>
      <c r="D16" s="18" t="str">
        <f>IFERROR(_xlfn.XLOOKUP($C16,factPensjon[Virksomhetsnr.],factPensjon[Forpliktelser]),"")</f>
        <v/>
      </c>
      <c r="E16" s="19">
        <f>SUMIFS(BasilRadata[Heltidsplasser
0-2],BasilRadata[År],'0. Oppsett'!$C$8,BasilRadata[1B. Organisasjonsnummer:],$C16)</f>
        <v>0</v>
      </c>
      <c r="F16" s="25">
        <f>'4. Selvkost og satser'!$B$54</f>
        <v>288170.9461329499</v>
      </c>
      <c r="G16" s="19">
        <f>SUMIFS(BasilRadata[Heltidsplasser
3-6],BasilRadata[År],'0. Oppsett'!$C$8,BasilRadata[1B. Organisasjonsnummer:],$C16)</f>
        <v>0</v>
      </c>
      <c r="H16" s="25">
        <f>'4. Selvkost og satser'!$B$55</f>
        <v>156604.23359926464</v>
      </c>
      <c r="I16" s="26">
        <f t="shared" si="3"/>
        <v>0</v>
      </c>
      <c r="J16" s="20">
        <f>SUMIFS(BasilRadata[8E. Oppgi antall årsverk barnehagen har pensjonsforpliktelser for:],'1. BASIL-rådata'!$I$3:$I$500,'X. Satser pensjonstilskudd'!$C16,BasilRadata[År],'0. Oppsett'!$C$8)</f>
        <v>0</v>
      </c>
      <c r="K16" s="30" t="e">
        <f>_xlfn.XLOOKUP(C16,'X. Satser pensjonstilskudd'!C16:C235,'X. Satser pensjonstilskudd'!I16:I235)</f>
        <v>#N/A</v>
      </c>
      <c r="L16" s="95" t="e">
        <f t="shared" si="0"/>
        <v>#N/A</v>
      </c>
      <c r="M16" s="31">
        <f t="shared" si="1"/>
        <v>0</v>
      </c>
      <c r="N16" s="32">
        <f>IFERROR(M16*'0. Oppsett'!$C$30,0)</f>
        <v>0</v>
      </c>
      <c r="O16" s="33">
        <v>0</v>
      </c>
      <c r="P16" s="142"/>
      <c r="Q16" s="142"/>
      <c r="R16" s="142"/>
      <c r="S16" s="142">
        <v>0</v>
      </c>
      <c r="T16" s="33">
        <v>0</v>
      </c>
      <c r="U16" s="34">
        <v>0</v>
      </c>
      <c r="V16" s="35">
        <f t="shared" si="4"/>
        <v>0</v>
      </c>
    </row>
    <row r="17" spans="1:22" ht="15.75" thickBot="1" x14ac:dyDescent="0.3">
      <c r="A17" s="17">
        <v>13</v>
      </c>
      <c r="B17" s="150">
        <f>'X. Satser pensjonstilskudd'!B17</f>
        <v>0</v>
      </c>
      <c r="C17" s="18">
        <f>'X. Satser pensjonstilskudd'!C17</f>
        <v>0</v>
      </c>
      <c r="D17" s="18" t="str">
        <f>IFERROR(_xlfn.XLOOKUP($C17,factPensjon[Virksomhetsnr.],factPensjon[Forpliktelser]),"")</f>
        <v/>
      </c>
      <c r="E17" s="19">
        <f>SUMIFS(BasilRadata[Heltidsplasser
0-2],BasilRadata[År],'0. Oppsett'!$C$8,BasilRadata[1B. Organisasjonsnummer:],$C17)</f>
        <v>0</v>
      </c>
      <c r="F17" s="25">
        <f>'4. Selvkost og satser'!$B$54</f>
        <v>288170.9461329499</v>
      </c>
      <c r="G17" s="19">
        <f>SUMIFS(BasilRadata[Heltidsplasser
3-6],BasilRadata[År],'0. Oppsett'!$C$8,BasilRadata[1B. Organisasjonsnummer:],$C17)</f>
        <v>0</v>
      </c>
      <c r="H17" s="25">
        <f>'4. Selvkost og satser'!$B$55</f>
        <v>156604.23359926464</v>
      </c>
      <c r="I17" s="26">
        <f t="shared" si="3"/>
        <v>0</v>
      </c>
      <c r="J17" s="20">
        <f>SUMIFS(BasilRadata[8E. Oppgi antall årsverk barnehagen har pensjonsforpliktelser for:],'1. BASIL-rådata'!$I$3:$I$500,'X. Satser pensjonstilskudd'!$C17,BasilRadata[År],'0. Oppsett'!$C$8)</f>
        <v>0</v>
      </c>
      <c r="K17" s="30">
        <f>IFERROR(IF(OR(#REF!="",#REF!=""),0,J17*#REF!*#REF!*(1+'0. Oppsett'!$C$11)),0)</f>
        <v>0</v>
      </c>
      <c r="L17" s="95">
        <f t="shared" si="0"/>
        <v>0</v>
      </c>
      <c r="M17" s="31">
        <f t="shared" si="1"/>
        <v>0</v>
      </c>
      <c r="N17" s="32">
        <f>IFERROR(M17*'0. Oppsett'!$C$30,0)</f>
        <v>0</v>
      </c>
      <c r="O17" s="33">
        <v>0</v>
      </c>
      <c r="P17" s="142"/>
      <c r="Q17" s="142"/>
      <c r="R17" s="142"/>
      <c r="S17" s="142">
        <v>0</v>
      </c>
      <c r="T17" s="33">
        <v>0</v>
      </c>
      <c r="U17" s="34">
        <v>0</v>
      </c>
      <c r="V17" s="35">
        <f t="shared" si="4"/>
        <v>0</v>
      </c>
    </row>
    <row r="18" spans="1:22" ht="15.75" thickBot="1" x14ac:dyDescent="0.3">
      <c r="A18" s="21">
        <v>14</v>
      </c>
      <c r="B18" s="150">
        <f>'X. Satser pensjonstilskudd'!B18</f>
        <v>0</v>
      </c>
      <c r="C18" s="18">
        <f>'X. Satser pensjonstilskudd'!C18</f>
        <v>0</v>
      </c>
      <c r="D18" s="18" t="str">
        <f>IFERROR(_xlfn.XLOOKUP($C18,factPensjon[Virksomhetsnr.],factPensjon[Forpliktelser]),"")</f>
        <v/>
      </c>
      <c r="E18" s="19">
        <f>SUMIFS(BasilRadata[Heltidsplasser
0-2],BasilRadata[År],'0. Oppsett'!$C$8,BasilRadata[1B. Organisasjonsnummer:],$C18)</f>
        <v>0</v>
      </c>
      <c r="F18" s="25">
        <f>'4. Selvkost og satser'!$B$54</f>
        <v>288170.9461329499</v>
      </c>
      <c r="G18" s="19">
        <f>SUMIFS(BasilRadata[Heltidsplasser
3-6],BasilRadata[År],'0. Oppsett'!$C$8,BasilRadata[1B. Organisasjonsnummer:],$C18)</f>
        <v>0</v>
      </c>
      <c r="H18" s="25">
        <f>'4. Selvkost og satser'!$B$55</f>
        <v>156604.23359926464</v>
      </c>
      <c r="I18" s="26">
        <f t="shared" si="3"/>
        <v>0</v>
      </c>
      <c r="J18" s="20">
        <f>SUMIFS(BasilRadata[8E. Oppgi antall årsverk barnehagen har pensjonsforpliktelser for:],'1. BASIL-rådata'!$I$3:$I$500,'X. Satser pensjonstilskudd'!$C18,BasilRadata[År],'0. Oppsett'!$C$8)</f>
        <v>0</v>
      </c>
      <c r="K18" s="30">
        <f>IFERROR(IF(OR(#REF!="",#REF!=""),0,J18*#REF!*#REF!*(1+'0. Oppsett'!$C$11)),0)</f>
        <v>0</v>
      </c>
      <c r="L18" s="95">
        <f t="shared" si="0"/>
        <v>0</v>
      </c>
      <c r="M18" s="31">
        <f t="shared" si="1"/>
        <v>0</v>
      </c>
      <c r="N18" s="32">
        <f>IFERROR(M18*'0. Oppsett'!$C$30,0)</f>
        <v>0</v>
      </c>
      <c r="O18" s="33">
        <v>0</v>
      </c>
      <c r="P18" s="142"/>
      <c r="Q18" s="142"/>
      <c r="R18" s="142"/>
      <c r="S18" s="142">
        <v>0</v>
      </c>
      <c r="T18" s="33">
        <v>0</v>
      </c>
      <c r="U18" s="34">
        <v>0</v>
      </c>
      <c r="V18" s="35">
        <f t="shared" si="4"/>
        <v>0</v>
      </c>
    </row>
    <row r="19" spans="1:22" ht="15.75" thickBot="1" x14ac:dyDescent="0.3">
      <c r="A19" s="17">
        <v>15</v>
      </c>
      <c r="B19" s="150">
        <f>'X. Satser pensjonstilskudd'!B19</f>
        <v>0</v>
      </c>
      <c r="C19" s="18">
        <f>'X. Satser pensjonstilskudd'!C19</f>
        <v>0</v>
      </c>
      <c r="D19" s="18" t="str">
        <f>IFERROR(_xlfn.XLOOKUP($C19,factPensjon[Virksomhetsnr.],factPensjon[Forpliktelser]),"")</f>
        <v/>
      </c>
      <c r="E19" s="19">
        <f>SUMIFS(BasilRadata[Heltidsplasser
0-2],BasilRadata[År],'0. Oppsett'!$C$8,BasilRadata[1B. Organisasjonsnummer:],$C19)</f>
        <v>0</v>
      </c>
      <c r="F19" s="25">
        <f>'4. Selvkost og satser'!$B$54</f>
        <v>288170.9461329499</v>
      </c>
      <c r="G19" s="19">
        <f>SUMIFS(BasilRadata[Heltidsplasser
3-6],BasilRadata[År],'0. Oppsett'!$C$8,BasilRadata[1B. Organisasjonsnummer:],$C19)</f>
        <v>0</v>
      </c>
      <c r="H19" s="25">
        <f>'4. Selvkost og satser'!$B$55</f>
        <v>156604.23359926464</v>
      </c>
      <c r="I19" s="26">
        <f t="shared" si="3"/>
        <v>0</v>
      </c>
      <c r="J19" s="20">
        <f>SUMIFS(BasilRadata[8E. Oppgi antall årsverk barnehagen har pensjonsforpliktelser for:],'1. BASIL-rådata'!$I$3:$I$500,'X. Satser pensjonstilskudd'!$C19,BasilRadata[År],'0. Oppsett'!$C$8)</f>
        <v>0</v>
      </c>
      <c r="K19" s="30">
        <f>IFERROR(IF(OR(#REF!="",#REF!=""),0,J19*#REF!*#REF!*(1+'0. Oppsett'!$C$11)),0)</f>
        <v>0</v>
      </c>
      <c r="L19" s="95">
        <f t="shared" si="0"/>
        <v>0</v>
      </c>
      <c r="M19" s="31">
        <f t="shared" si="1"/>
        <v>0</v>
      </c>
      <c r="N19" s="32">
        <f>IFERROR(M19*'0. Oppsett'!$C$30,0)</f>
        <v>0</v>
      </c>
      <c r="O19" s="33">
        <v>0</v>
      </c>
      <c r="P19" s="142"/>
      <c r="Q19" s="142"/>
      <c r="R19" s="142"/>
      <c r="S19" s="142">
        <v>0</v>
      </c>
      <c r="T19" s="33">
        <v>0</v>
      </c>
      <c r="U19" s="34">
        <v>0</v>
      </c>
      <c r="V19" s="35">
        <f t="shared" si="4"/>
        <v>0</v>
      </c>
    </row>
    <row r="20" spans="1:22" ht="15.75" thickBot="1" x14ac:dyDescent="0.3">
      <c r="A20" s="21">
        <v>16</v>
      </c>
      <c r="B20" s="150">
        <f>'X. Satser pensjonstilskudd'!B20</f>
        <v>0</v>
      </c>
      <c r="C20" s="18">
        <f>'X. Satser pensjonstilskudd'!C20</f>
        <v>0</v>
      </c>
      <c r="D20" s="18" t="str">
        <f>IFERROR(_xlfn.XLOOKUP($C20,factPensjon[Virksomhetsnr.],factPensjon[Forpliktelser]),"")</f>
        <v/>
      </c>
      <c r="E20" s="19">
        <f>SUMIFS(BasilRadata[Heltidsplasser
0-2],BasilRadata[År],'0. Oppsett'!$C$8,BasilRadata[1B. Organisasjonsnummer:],$C20)</f>
        <v>0</v>
      </c>
      <c r="F20" s="25">
        <f>'4. Selvkost og satser'!$B$54</f>
        <v>288170.9461329499</v>
      </c>
      <c r="G20" s="19">
        <f>SUMIFS(BasilRadata[Heltidsplasser
3-6],BasilRadata[År],'0. Oppsett'!$C$8,BasilRadata[1B. Organisasjonsnummer:],$C20)</f>
        <v>0</v>
      </c>
      <c r="H20" s="25">
        <f>'4. Selvkost og satser'!$B$55</f>
        <v>156604.23359926464</v>
      </c>
      <c r="I20" s="26">
        <f t="shared" si="3"/>
        <v>0</v>
      </c>
      <c r="J20" s="20">
        <f>SUMIFS(BasilRadata[8E. Oppgi antall årsverk barnehagen har pensjonsforpliktelser for:],'1. BASIL-rådata'!$I$3:$I$500,'X. Satser pensjonstilskudd'!$C20,BasilRadata[År],'0. Oppsett'!$C$8)</f>
        <v>0</v>
      </c>
      <c r="K20" s="30">
        <f>IFERROR(IF(OR(#REF!="",#REF!=""),0,J20*#REF!*#REF!*(1+'0. Oppsett'!$C$11)),0)</f>
        <v>0</v>
      </c>
      <c r="L20" s="95">
        <f t="shared" si="0"/>
        <v>0</v>
      </c>
      <c r="M20" s="31">
        <f t="shared" si="1"/>
        <v>0</v>
      </c>
      <c r="N20" s="32">
        <f>IFERROR(M20*'0. Oppsett'!$C$30,0)</f>
        <v>0</v>
      </c>
      <c r="O20" s="33">
        <v>0</v>
      </c>
      <c r="P20" s="142"/>
      <c r="Q20" s="142"/>
      <c r="R20" s="142"/>
      <c r="S20" s="142">
        <v>0</v>
      </c>
      <c r="T20" s="33">
        <v>0</v>
      </c>
      <c r="U20" s="34">
        <v>0</v>
      </c>
      <c r="V20" s="35">
        <f t="shared" si="4"/>
        <v>0</v>
      </c>
    </row>
    <row r="21" spans="1:22" ht="15.75" thickBot="1" x14ac:dyDescent="0.3">
      <c r="A21" s="17">
        <v>17</v>
      </c>
      <c r="B21" s="150">
        <f>'X. Satser pensjonstilskudd'!B21</f>
        <v>0</v>
      </c>
      <c r="C21" s="18">
        <f>'X. Satser pensjonstilskudd'!C21</f>
        <v>0</v>
      </c>
      <c r="D21" s="18" t="str">
        <f>IFERROR(_xlfn.XLOOKUP($C21,factPensjon[Virksomhetsnr.],factPensjon[Forpliktelser]),"")</f>
        <v/>
      </c>
      <c r="E21" s="19">
        <f>SUMIFS(BasilRadata[Heltidsplasser
0-2],BasilRadata[År],'0. Oppsett'!$C$8,BasilRadata[1B. Organisasjonsnummer:],$C21)</f>
        <v>0</v>
      </c>
      <c r="F21" s="25">
        <f>'4. Selvkost og satser'!$B$54</f>
        <v>288170.9461329499</v>
      </c>
      <c r="G21" s="19">
        <f>SUMIFS(BasilRadata[Heltidsplasser
3-6],BasilRadata[År],'0. Oppsett'!$C$8,BasilRadata[1B. Organisasjonsnummer:],$C21)</f>
        <v>0</v>
      </c>
      <c r="H21" s="25">
        <f>'4. Selvkost og satser'!$B$55</f>
        <v>156604.23359926464</v>
      </c>
      <c r="I21" s="26">
        <f t="shared" si="3"/>
        <v>0</v>
      </c>
      <c r="J21" s="20">
        <f>SUMIFS(BasilRadata[8E. Oppgi antall årsverk barnehagen har pensjonsforpliktelser for:],'1. BASIL-rådata'!$I$3:$I$500,'X. Satser pensjonstilskudd'!$C21,BasilRadata[År],'0. Oppsett'!$C$8)</f>
        <v>0</v>
      </c>
      <c r="K21" s="30">
        <f>IFERROR(IF(OR(#REF!="",#REF!=""),0,J21*#REF!*#REF!*(1+'0. Oppsett'!$C$11)),0)</f>
        <v>0</v>
      </c>
      <c r="L21" s="95">
        <f t="shared" si="0"/>
        <v>0</v>
      </c>
      <c r="M21" s="31">
        <f t="shared" si="1"/>
        <v>0</v>
      </c>
      <c r="N21" s="32">
        <f>IFERROR(M21*'0. Oppsett'!$C$30,0)</f>
        <v>0</v>
      </c>
      <c r="O21" s="33">
        <v>0</v>
      </c>
      <c r="P21" s="142"/>
      <c r="Q21" s="142"/>
      <c r="R21" s="142"/>
      <c r="S21" s="142">
        <v>0</v>
      </c>
      <c r="T21" s="33">
        <v>0</v>
      </c>
      <c r="U21" s="34">
        <v>0</v>
      </c>
      <c r="V21" s="35">
        <f t="shared" si="4"/>
        <v>0</v>
      </c>
    </row>
    <row r="22" spans="1:22" ht="15.75" thickBot="1" x14ac:dyDescent="0.3">
      <c r="A22" s="21">
        <v>18</v>
      </c>
      <c r="B22" s="150">
        <f>'X. Satser pensjonstilskudd'!B22</f>
        <v>0</v>
      </c>
      <c r="C22" s="18">
        <f>'X. Satser pensjonstilskudd'!C22</f>
        <v>0</v>
      </c>
      <c r="D22" s="18" t="str">
        <f>IFERROR(_xlfn.XLOOKUP($C22,factPensjon[Virksomhetsnr.],factPensjon[Forpliktelser]),"")</f>
        <v/>
      </c>
      <c r="E22" s="19">
        <f>SUMIFS(BasilRadata[Heltidsplasser
0-2],BasilRadata[År],'0. Oppsett'!$C$8,BasilRadata[1B. Organisasjonsnummer:],$C22)</f>
        <v>0</v>
      </c>
      <c r="F22" s="25">
        <f>'4. Selvkost og satser'!$B$54</f>
        <v>288170.9461329499</v>
      </c>
      <c r="G22" s="19">
        <f>SUMIFS(BasilRadata[Heltidsplasser
3-6],BasilRadata[År],'0. Oppsett'!$C$8,BasilRadata[1B. Organisasjonsnummer:],$C22)</f>
        <v>0</v>
      </c>
      <c r="H22" s="25">
        <f>'4. Selvkost og satser'!$B$55</f>
        <v>156604.23359926464</v>
      </c>
      <c r="I22" s="26">
        <f t="shared" si="3"/>
        <v>0</v>
      </c>
      <c r="J22" s="20">
        <f>SUMIFS(BasilRadata[8E. Oppgi antall årsverk barnehagen har pensjonsforpliktelser for:],'1. BASIL-rådata'!$I$3:$I$500,'X. Satser pensjonstilskudd'!$C22,BasilRadata[År],'0. Oppsett'!$C$8)</f>
        <v>0</v>
      </c>
      <c r="K22" s="30">
        <f>IFERROR(IF(OR(#REF!="",#REF!=""),0,J22*#REF!*#REF!*(1+'0. Oppsett'!$C$11)),0)</f>
        <v>0</v>
      </c>
      <c r="L22" s="95">
        <f t="shared" si="0"/>
        <v>0</v>
      </c>
      <c r="M22" s="31">
        <f t="shared" si="1"/>
        <v>0</v>
      </c>
      <c r="N22" s="32">
        <f>IFERROR(M22*'0. Oppsett'!$C$30,0)</f>
        <v>0</v>
      </c>
      <c r="O22" s="33">
        <v>0</v>
      </c>
      <c r="P22" s="142"/>
      <c r="Q22" s="142"/>
      <c r="R22" s="142"/>
      <c r="S22" s="142">
        <v>0</v>
      </c>
      <c r="T22" s="33">
        <v>0</v>
      </c>
      <c r="U22" s="34">
        <v>0</v>
      </c>
      <c r="V22" s="35">
        <f t="shared" si="4"/>
        <v>0</v>
      </c>
    </row>
    <row r="23" spans="1:22" ht="15.75" thickBot="1" x14ac:dyDescent="0.3">
      <c r="A23" s="17">
        <v>19</v>
      </c>
      <c r="B23" s="150">
        <f>'X. Satser pensjonstilskudd'!B23</f>
        <v>0</v>
      </c>
      <c r="C23" s="18">
        <f>'X. Satser pensjonstilskudd'!C23</f>
        <v>0</v>
      </c>
      <c r="D23" s="18" t="str">
        <f>IFERROR(_xlfn.XLOOKUP($C23,factPensjon[Virksomhetsnr.],factPensjon[Forpliktelser]),"")</f>
        <v/>
      </c>
      <c r="E23" s="19">
        <f>SUMIFS(BasilRadata[Heltidsplasser
0-2],BasilRadata[År],'0. Oppsett'!$C$8,BasilRadata[1B. Organisasjonsnummer:],$C23)</f>
        <v>0</v>
      </c>
      <c r="F23" s="25">
        <f>'4. Selvkost og satser'!$B$54</f>
        <v>288170.9461329499</v>
      </c>
      <c r="G23" s="19">
        <f>SUMIFS(BasilRadata[Heltidsplasser
3-6],BasilRadata[År],'0. Oppsett'!$C$8,BasilRadata[1B. Organisasjonsnummer:],$C23)</f>
        <v>0</v>
      </c>
      <c r="H23" s="25">
        <f>'4. Selvkost og satser'!$B$55</f>
        <v>156604.23359926464</v>
      </c>
      <c r="I23" s="26">
        <f t="shared" si="3"/>
        <v>0</v>
      </c>
      <c r="J23" s="20">
        <f>SUMIFS(BasilRadata[8E. Oppgi antall årsverk barnehagen har pensjonsforpliktelser for:],'1. BASIL-rådata'!$I$3:$I$500,'X. Satser pensjonstilskudd'!$C23,BasilRadata[År],'0. Oppsett'!$C$8)</f>
        <v>0</v>
      </c>
      <c r="K23" s="30">
        <f>IFERROR(IF(OR(#REF!="",#REF!=""),0,J23*#REF!*#REF!*(1+'0. Oppsett'!$C$11)),0)</f>
        <v>0</v>
      </c>
      <c r="L23" s="95">
        <f t="shared" si="0"/>
        <v>0</v>
      </c>
      <c r="M23" s="31">
        <f t="shared" si="1"/>
        <v>0</v>
      </c>
      <c r="N23" s="32">
        <f>IFERROR(M23*'0. Oppsett'!$C$30,0)</f>
        <v>0</v>
      </c>
      <c r="O23" s="33">
        <v>0</v>
      </c>
      <c r="P23" s="142"/>
      <c r="Q23" s="142"/>
      <c r="R23" s="142"/>
      <c r="S23" s="142">
        <v>0</v>
      </c>
      <c r="T23" s="33">
        <v>0</v>
      </c>
      <c r="U23" s="34">
        <v>0</v>
      </c>
      <c r="V23" s="35">
        <f t="shared" si="4"/>
        <v>0</v>
      </c>
    </row>
    <row r="24" spans="1:22" ht="15.75" thickBot="1" x14ac:dyDescent="0.3">
      <c r="A24" s="21">
        <v>20</v>
      </c>
      <c r="B24" s="150">
        <f>'X. Satser pensjonstilskudd'!B24</f>
        <v>0</v>
      </c>
      <c r="C24" s="18">
        <f>'X. Satser pensjonstilskudd'!C24</f>
        <v>0</v>
      </c>
      <c r="D24" s="18" t="str">
        <f>IFERROR(_xlfn.XLOOKUP($C24,factPensjon[Virksomhetsnr.],factPensjon[Forpliktelser]),"")</f>
        <v/>
      </c>
      <c r="E24" s="19">
        <f>SUMIFS(BasilRadata[Heltidsplasser
0-2],BasilRadata[År],'0. Oppsett'!$C$8,BasilRadata[1B. Organisasjonsnummer:],$C24)</f>
        <v>0</v>
      </c>
      <c r="F24" s="25">
        <f>'4. Selvkost og satser'!$B$54</f>
        <v>288170.9461329499</v>
      </c>
      <c r="G24" s="19">
        <f>SUMIFS(BasilRadata[Heltidsplasser
3-6],BasilRadata[År],'0. Oppsett'!$C$8,BasilRadata[1B. Organisasjonsnummer:],$C24)</f>
        <v>0</v>
      </c>
      <c r="H24" s="25">
        <f>'4. Selvkost og satser'!$B$55</f>
        <v>156604.23359926464</v>
      </c>
      <c r="I24" s="26">
        <f t="shared" si="3"/>
        <v>0</v>
      </c>
      <c r="J24" s="20">
        <f>SUMIFS(BasilRadata[8E. Oppgi antall årsverk barnehagen har pensjonsforpliktelser for:],'1. BASIL-rådata'!$I$3:$I$500,'X. Satser pensjonstilskudd'!$C24,BasilRadata[År],'0. Oppsett'!$C$8)</f>
        <v>0</v>
      </c>
      <c r="K24" s="30">
        <f>IFERROR(IF(OR(#REF!="",#REF!=""),0,J24*#REF!*#REF!*(1+'0. Oppsett'!$C$11)),0)</f>
        <v>0</v>
      </c>
      <c r="L24" s="95">
        <f t="shared" si="0"/>
        <v>0</v>
      </c>
      <c r="M24" s="31">
        <f t="shared" si="1"/>
        <v>0</v>
      </c>
      <c r="N24" s="32">
        <f>IFERROR(M24*'0. Oppsett'!$C$30,0)</f>
        <v>0</v>
      </c>
      <c r="O24" s="33">
        <v>0</v>
      </c>
      <c r="P24" s="142"/>
      <c r="Q24" s="142"/>
      <c r="R24" s="142"/>
      <c r="S24" s="142">
        <v>0</v>
      </c>
      <c r="T24" s="33">
        <v>0</v>
      </c>
      <c r="U24" s="34">
        <v>0</v>
      </c>
      <c r="V24" s="35">
        <f t="shared" si="4"/>
        <v>0</v>
      </c>
    </row>
    <row r="25" spans="1:22" ht="15.75" thickBot="1" x14ac:dyDescent="0.3">
      <c r="A25" s="17">
        <v>21</v>
      </c>
      <c r="B25" s="150">
        <f>'X. Satser pensjonstilskudd'!B25</f>
        <v>0</v>
      </c>
      <c r="C25" s="18">
        <f>'X. Satser pensjonstilskudd'!C25</f>
        <v>0</v>
      </c>
      <c r="D25" s="18" t="str">
        <f>IFERROR(_xlfn.XLOOKUP($C25,factPensjon[Virksomhetsnr.],factPensjon[Forpliktelser]),"")</f>
        <v/>
      </c>
      <c r="E25" s="19">
        <f>SUMIFS(BasilRadata[Heltidsplasser
0-2],BasilRadata[År],'0. Oppsett'!$C$8,BasilRadata[1B. Organisasjonsnummer:],$C25)</f>
        <v>0</v>
      </c>
      <c r="F25" s="25">
        <f>'4. Selvkost og satser'!$B$54</f>
        <v>288170.9461329499</v>
      </c>
      <c r="G25" s="19">
        <f>SUMIFS(BasilRadata[Heltidsplasser
3-6],BasilRadata[År],'0. Oppsett'!$C$8,BasilRadata[1B. Organisasjonsnummer:],$C25)</f>
        <v>0</v>
      </c>
      <c r="H25" s="25">
        <f>'4. Selvkost og satser'!$B$55</f>
        <v>156604.23359926464</v>
      </c>
      <c r="I25" s="26">
        <f t="shared" si="3"/>
        <v>0</v>
      </c>
      <c r="J25" s="20">
        <f>SUMIFS(BasilRadata[8E. Oppgi antall årsverk barnehagen har pensjonsforpliktelser for:],'1. BASIL-rådata'!$I$3:$I$500,'X. Satser pensjonstilskudd'!$C25,BasilRadata[År],'0. Oppsett'!$C$8)</f>
        <v>0</v>
      </c>
      <c r="K25" s="30">
        <f>IFERROR(IF(OR(#REF!="",#REF!=""),0,J25*#REF!*#REF!*(1+'0. Oppsett'!$C$11)),0)</f>
        <v>0</v>
      </c>
      <c r="L25" s="95">
        <f t="shared" si="0"/>
        <v>0</v>
      </c>
      <c r="M25" s="31">
        <f t="shared" si="1"/>
        <v>0</v>
      </c>
      <c r="N25" s="32">
        <f>IFERROR(M25*'0. Oppsett'!$C$30,0)</f>
        <v>0</v>
      </c>
      <c r="O25" s="33">
        <v>0</v>
      </c>
      <c r="P25" s="142"/>
      <c r="Q25" s="142"/>
      <c r="R25" s="142"/>
      <c r="S25" s="142">
        <v>0</v>
      </c>
      <c r="T25" s="33">
        <v>0</v>
      </c>
      <c r="U25" s="34">
        <v>0</v>
      </c>
      <c r="V25" s="35">
        <f t="shared" si="4"/>
        <v>0</v>
      </c>
    </row>
    <row r="26" spans="1:22" ht="15.75" thickBot="1" x14ac:dyDescent="0.3">
      <c r="A26" s="21">
        <v>22</v>
      </c>
      <c r="B26" s="150">
        <f>'X. Satser pensjonstilskudd'!B26</f>
        <v>0</v>
      </c>
      <c r="C26" s="18">
        <f>'X. Satser pensjonstilskudd'!C26</f>
        <v>0</v>
      </c>
      <c r="D26" s="18" t="str">
        <f>IFERROR(_xlfn.XLOOKUP($C26,factPensjon[Virksomhetsnr.],factPensjon[Forpliktelser]),"")</f>
        <v/>
      </c>
      <c r="E26" s="19">
        <f>SUMIFS(BasilRadata[Heltidsplasser
0-2],BasilRadata[År],'0. Oppsett'!$C$8,BasilRadata[1B. Organisasjonsnummer:],$C26)</f>
        <v>0</v>
      </c>
      <c r="F26" s="25">
        <f>'4. Selvkost og satser'!$B$54</f>
        <v>288170.9461329499</v>
      </c>
      <c r="G26" s="19">
        <f>SUMIFS(BasilRadata[Heltidsplasser
3-6],BasilRadata[År],'0. Oppsett'!$C$8,BasilRadata[1B. Organisasjonsnummer:],$C26)</f>
        <v>0</v>
      </c>
      <c r="H26" s="25">
        <f>'4. Selvkost og satser'!$B$55</f>
        <v>156604.23359926464</v>
      </c>
      <c r="I26" s="26">
        <f t="shared" si="3"/>
        <v>0</v>
      </c>
      <c r="J26" s="20">
        <f>SUMIFS(BasilRadata[8E. Oppgi antall årsverk barnehagen har pensjonsforpliktelser for:],'1. BASIL-rådata'!$I$3:$I$500,'X. Satser pensjonstilskudd'!$C26,BasilRadata[År],'0. Oppsett'!$C$8)</f>
        <v>0</v>
      </c>
      <c r="K26" s="30">
        <f>IFERROR(IF(OR(#REF!="",#REF!=""),0,J26*#REF!*#REF!*(1+'0. Oppsett'!$C$11)),0)</f>
        <v>0</v>
      </c>
      <c r="L26" s="95">
        <f t="shared" si="0"/>
        <v>0</v>
      </c>
      <c r="M26" s="31">
        <f t="shared" si="1"/>
        <v>0</v>
      </c>
      <c r="N26" s="32">
        <f>IFERROR(M26*'0. Oppsett'!$C$30,0)</f>
        <v>0</v>
      </c>
      <c r="O26" s="33">
        <v>0</v>
      </c>
      <c r="P26" s="142"/>
      <c r="Q26" s="142"/>
      <c r="R26" s="142"/>
      <c r="S26" s="142">
        <v>0</v>
      </c>
      <c r="T26" s="33">
        <v>0</v>
      </c>
      <c r="U26" s="34">
        <v>0</v>
      </c>
      <c r="V26" s="35">
        <f t="shared" si="4"/>
        <v>0</v>
      </c>
    </row>
    <row r="27" spans="1:22" ht="15.75" thickBot="1" x14ac:dyDescent="0.3">
      <c r="A27" s="17">
        <v>23</v>
      </c>
      <c r="B27" s="150">
        <f>'X. Satser pensjonstilskudd'!B27</f>
        <v>0</v>
      </c>
      <c r="C27" s="18">
        <f>'X. Satser pensjonstilskudd'!C27</f>
        <v>0</v>
      </c>
      <c r="D27" s="18" t="str">
        <f>IFERROR(_xlfn.XLOOKUP($C27,factPensjon[Virksomhetsnr.],factPensjon[Forpliktelser]),"")</f>
        <v/>
      </c>
      <c r="E27" s="19">
        <f>SUMIFS(BasilRadata[Heltidsplasser
0-2],BasilRadata[År],'0. Oppsett'!$C$8,BasilRadata[1B. Organisasjonsnummer:],$C27)</f>
        <v>0</v>
      </c>
      <c r="F27" s="25">
        <f>'4. Selvkost og satser'!$B$54</f>
        <v>288170.9461329499</v>
      </c>
      <c r="G27" s="19">
        <f>SUMIFS(BasilRadata[Heltidsplasser
3-6],BasilRadata[År],'0. Oppsett'!$C$8,BasilRadata[1B. Organisasjonsnummer:],$C27)</f>
        <v>0</v>
      </c>
      <c r="H27" s="25">
        <f>'4. Selvkost og satser'!$B$55</f>
        <v>156604.23359926464</v>
      </c>
      <c r="I27" s="26">
        <f t="shared" si="3"/>
        <v>0</v>
      </c>
      <c r="J27" s="20">
        <f>SUMIFS(BasilRadata[8E. Oppgi antall årsverk barnehagen har pensjonsforpliktelser for:],'1. BASIL-rådata'!$I$3:$I$500,'X. Satser pensjonstilskudd'!$C27,BasilRadata[År],'0. Oppsett'!$C$8)</f>
        <v>0</v>
      </c>
      <c r="K27" s="30">
        <f>IFERROR(IF(OR(#REF!="",#REF!=""),0,J27*#REF!*#REF!*(1+'0. Oppsett'!$C$11)),0)</f>
        <v>0</v>
      </c>
      <c r="L27" s="95">
        <f t="shared" si="0"/>
        <v>0</v>
      </c>
      <c r="M27" s="31">
        <f t="shared" si="1"/>
        <v>0</v>
      </c>
      <c r="N27" s="32">
        <f>IFERROR(M27*'0. Oppsett'!$C$30,0)</f>
        <v>0</v>
      </c>
      <c r="O27" s="33">
        <v>0</v>
      </c>
      <c r="P27" s="142"/>
      <c r="Q27" s="142"/>
      <c r="R27" s="142"/>
      <c r="S27" s="142">
        <v>0</v>
      </c>
      <c r="T27" s="33">
        <v>0</v>
      </c>
      <c r="U27" s="34">
        <v>0</v>
      </c>
      <c r="V27" s="35">
        <f t="shared" si="4"/>
        <v>0</v>
      </c>
    </row>
    <row r="28" spans="1:22" ht="15.75" thickBot="1" x14ac:dyDescent="0.3">
      <c r="A28" s="21">
        <v>24</v>
      </c>
      <c r="B28" s="150">
        <f>'X. Satser pensjonstilskudd'!B28</f>
        <v>0</v>
      </c>
      <c r="C28" s="18">
        <f>'X. Satser pensjonstilskudd'!C28</f>
        <v>0</v>
      </c>
      <c r="D28" s="18" t="str">
        <f>IFERROR(_xlfn.XLOOKUP($C28,factPensjon[Virksomhetsnr.],factPensjon[Forpliktelser]),"")</f>
        <v/>
      </c>
      <c r="E28" s="19">
        <f>SUMIFS(BasilRadata[Heltidsplasser
0-2],BasilRadata[År],'0. Oppsett'!$C$8,BasilRadata[1B. Organisasjonsnummer:],$C28)</f>
        <v>0</v>
      </c>
      <c r="F28" s="25">
        <f>'4. Selvkost og satser'!$B$54</f>
        <v>288170.9461329499</v>
      </c>
      <c r="G28" s="19">
        <f>SUMIFS(BasilRadata[Heltidsplasser
3-6],BasilRadata[År],'0. Oppsett'!$C$8,BasilRadata[1B. Organisasjonsnummer:],$C28)</f>
        <v>0</v>
      </c>
      <c r="H28" s="25">
        <f>'4. Selvkost og satser'!$B$55</f>
        <v>156604.23359926464</v>
      </c>
      <c r="I28" s="26">
        <f t="shared" si="3"/>
        <v>0</v>
      </c>
      <c r="J28" s="20">
        <f>SUMIFS(BasilRadata[8E. Oppgi antall årsverk barnehagen har pensjonsforpliktelser for:],'1. BASIL-rådata'!$I$3:$I$500,'X. Satser pensjonstilskudd'!$C28,BasilRadata[År],'0. Oppsett'!$C$8)</f>
        <v>0</v>
      </c>
      <c r="K28" s="30">
        <f>IFERROR(IF(OR(#REF!="",#REF!=""),0,J28*#REF!*#REF!*(1+'0. Oppsett'!$C$11)),0)</f>
        <v>0</v>
      </c>
      <c r="L28" s="95">
        <f t="shared" si="0"/>
        <v>0</v>
      </c>
      <c r="M28" s="31">
        <f t="shared" si="1"/>
        <v>0</v>
      </c>
      <c r="N28" s="32">
        <f>IFERROR(M28*'0. Oppsett'!$C$30,0)</f>
        <v>0</v>
      </c>
      <c r="O28" s="33">
        <v>0</v>
      </c>
      <c r="P28" s="142"/>
      <c r="Q28" s="142"/>
      <c r="R28" s="142"/>
      <c r="S28" s="142">
        <v>0</v>
      </c>
      <c r="T28" s="33">
        <v>0</v>
      </c>
      <c r="U28" s="34">
        <v>0</v>
      </c>
      <c r="V28" s="35">
        <f t="shared" si="4"/>
        <v>0</v>
      </c>
    </row>
    <row r="29" spans="1:22" ht="15.75" thickBot="1" x14ac:dyDescent="0.3">
      <c r="A29" s="17">
        <v>25</v>
      </c>
      <c r="B29" s="150">
        <f>'X. Satser pensjonstilskudd'!B29</f>
        <v>0</v>
      </c>
      <c r="C29" s="18">
        <f>'X. Satser pensjonstilskudd'!C29</f>
        <v>0</v>
      </c>
      <c r="D29" s="18" t="str">
        <f>IFERROR(_xlfn.XLOOKUP($C29,factPensjon[Virksomhetsnr.],factPensjon[Forpliktelser]),"")</f>
        <v/>
      </c>
      <c r="E29" s="19">
        <f>SUMIFS(BasilRadata[Heltidsplasser
0-2],BasilRadata[År],'0. Oppsett'!$C$8,BasilRadata[1B. Organisasjonsnummer:],$C29)</f>
        <v>0</v>
      </c>
      <c r="F29" s="25">
        <f>'4. Selvkost og satser'!$B$54</f>
        <v>288170.9461329499</v>
      </c>
      <c r="G29" s="19">
        <f>SUMIFS(BasilRadata[Heltidsplasser
3-6],BasilRadata[År],'0. Oppsett'!$C$8,BasilRadata[1B. Organisasjonsnummer:],$C29)</f>
        <v>0</v>
      </c>
      <c r="H29" s="25">
        <f>'4. Selvkost og satser'!$B$55</f>
        <v>156604.23359926464</v>
      </c>
      <c r="I29" s="26">
        <f t="shared" si="3"/>
        <v>0</v>
      </c>
      <c r="J29" s="20">
        <f>SUMIFS(BasilRadata[8E. Oppgi antall årsverk barnehagen har pensjonsforpliktelser for:],'1. BASIL-rådata'!$I$3:$I$500,'X. Satser pensjonstilskudd'!$C29,BasilRadata[År],'0. Oppsett'!$C$8)</f>
        <v>0</v>
      </c>
      <c r="K29" s="30">
        <f>IFERROR(IF(OR(#REF!="",#REF!=""),0,J29*#REF!*#REF!*(1+'0. Oppsett'!$C$11)),0)</f>
        <v>0</v>
      </c>
      <c r="L29" s="95">
        <f t="shared" si="0"/>
        <v>0</v>
      </c>
      <c r="M29" s="31">
        <f t="shared" si="1"/>
        <v>0</v>
      </c>
      <c r="N29" s="32">
        <f>IFERROR(M29*'0. Oppsett'!$C$30,0)</f>
        <v>0</v>
      </c>
      <c r="O29" s="33">
        <v>0</v>
      </c>
      <c r="P29" s="142"/>
      <c r="Q29" s="142"/>
      <c r="R29" s="142"/>
      <c r="S29" s="142">
        <v>0</v>
      </c>
      <c r="T29" s="33">
        <v>0</v>
      </c>
      <c r="U29" s="34">
        <v>0</v>
      </c>
      <c r="V29" s="35">
        <f t="shared" si="4"/>
        <v>0</v>
      </c>
    </row>
    <row r="30" spans="1:22" ht="15.75" thickBot="1" x14ac:dyDescent="0.3">
      <c r="A30" s="21">
        <v>26</v>
      </c>
      <c r="B30" s="150">
        <f>'X. Satser pensjonstilskudd'!B30</f>
        <v>0</v>
      </c>
      <c r="C30" s="18">
        <f>'X. Satser pensjonstilskudd'!C30</f>
        <v>0</v>
      </c>
      <c r="D30" s="18" t="str">
        <f>IFERROR(_xlfn.XLOOKUP($C30,factPensjon[Virksomhetsnr.],factPensjon[Forpliktelser]),"")</f>
        <v/>
      </c>
      <c r="E30" s="19">
        <f>SUMIFS(BasilRadata[Heltidsplasser
0-2],BasilRadata[År],'0. Oppsett'!$C$8,BasilRadata[1B. Organisasjonsnummer:],$C30)</f>
        <v>0</v>
      </c>
      <c r="F30" s="25">
        <f>'4. Selvkost og satser'!$B$54</f>
        <v>288170.9461329499</v>
      </c>
      <c r="G30" s="19">
        <f>SUMIFS(BasilRadata[Heltidsplasser
3-6],BasilRadata[År],'0. Oppsett'!$C$8,BasilRadata[1B. Organisasjonsnummer:],$C30)</f>
        <v>0</v>
      </c>
      <c r="H30" s="25">
        <f>'4. Selvkost og satser'!$B$55</f>
        <v>156604.23359926464</v>
      </c>
      <c r="I30" s="26">
        <f t="shared" si="3"/>
        <v>0</v>
      </c>
      <c r="J30" s="20">
        <f>SUMIFS(BasilRadata[8E. Oppgi antall årsverk barnehagen har pensjonsforpliktelser for:],'1. BASIL-rådata'!$I$3:$I$500,'X. Satser pensjonstilskudd'!$C30,BasilRadata[År],'0. Oppsett'!$C$8)</f>
        <v>0</v>
      </c>
      <c r="K30" s="30">
        <f>IFERROR(IF(OR(#REF!="",#REF!=""),0,J30*#REF!*#REF!*(1+'0. Oppsett'!$C$11)),0)</f>
        <v>0</v>
      </c>
      <c r="L30" s="95">
        <f t="shared" si="0"/>
        <v>0</v>
      </c>
      <c r="M30" s="31">
        <f t="shared" si="1"/>
        <v>0</v>
      </c>
      <c r="N30" s="32">
        <f>IFERROR(M30*'0. Oppsett'!$C$30,0)</f>
        <v>0</v>
      </c>
      <c r="O30" s="33">
        <v>0</v>
      </c>
      <c r="P30" s="142"/>
      <c r="Q30" s="142"/>
      <c r="R30" s="142"/>
      <c r="S30" s="142">
        <v>0</v>
      </c>
      <c r="T30" s="33">
        <v>0</v>
      </c>
      <c r="U30" s="34">
        <v>0</v>
      </c>
      <c r="V30" s="35">
        <f t="shared" si="4"/>
        <v>0</v>
      </c>
    </row>
    <row r="31" spans="1:22" ht="15.75" thickBot="1" x14ac:dyDescent="0.3">
      <c r="A31" s="17">
        <v>27</v>
      </c>
      <c r="B31" s="150">
        <f>'X. Satser pensjonstilskudd'!B31</f>
        <v>0</v>
      </c>
      <c r="C31" s="18">
        <f>'X. Satser pensjonstilskudd'!C31</f>
        <v>0</v>
      </c>
      <c r="D31" s="18" t="str">
        <f>IFERROR(_xlfn.XLOOKUP($C31,factPensjon[Virksomhetsnr.],factPensjon[Forpliktelser]),"")</f>
        <v/>
      </c>
      <c r="E31" s="19">
        <f>SUMIFS(BasilRadata[Heltidsplasser
0-2],BasilRadata[År],'0. Oppsett'!$C$8,BasilRadata[1B. Organisasjonsnummer:],$C31)</f>
        <v>0</v>
      </c>
      <c r="F31" s="25">
        <f>'4. Selvkost og satser'!$B$54</f>
        <v>288170.9461329499</v>
      </c>
      <c r="G31" s="19">
        <f>SUMIFS(BasilRadata[Heltidsplasser
3-6],BasilRadata[År],'0. Oppsett'!$C$8,BasilRadata[1B. Organisasjonsnummer:],$C31)</f>
        <v>0</v>
      </c>
      <c r="H31" s="25">
        <f>'4. Selvkost og satser'!$B$55</f>
        <v>156604.23359926464</v>
      </c>
      <c r="I31" s="26">
        <f t="shared" si="3"/>
        <v>0</v>
      </c>
      <c r="J31" s="20">
        <f>SUMIFS(BasilRadata[8E. Oppgi antall årsverk barnehagen har pensjonsforpliktelser for:],'1. BASIL-rådata'!$I$3:$I$500,'X. Satser pensjonstilskudd'!$C31,BasilRadata[År],'0. Oppsett'!$C$8)</f>
        <v>0</v>
      </c>
      <c r="K31" s="30">
        <f>IFERROR(IF(OR(#REF!="",#REF!=""),0,J31*#REF!*#REF!*(1+'0. Oppsett'!$C$11)),0)</f>
        <v>0</v>
      </c>
      <c r="L31" s="95">
        <f t="shared" si="0"/>
        <v>0</v>
      </c>
      <c r="M31" s="31">
        <f t="shared" si="1"/>
        <v>0</v>
      </c>
      <c r="N31" s="32">
        <f>IFERROR(M31*'0. Oppsett'!$C$30,0)</f>
        <v>0</v>
      </c>
      <c r="O31" s="33">
        <v>0</v>
      </c>
      <c r="P31" s="142"/>
      <c r="Q31" s="142"/>
      <c r="R31" s="142"/>
      <c r="S31" s="142">
        <v>0</v>
      </c>
      <c r="T31" s="33">
        <v>0</v>
      </c>
      <c r="U31" s="34">
        <v>0</v>
      </c>
      <c r="V31" s="35">
        <f t="shared" si="4"/>
        <v>0</v>
      </c>
    </row>
    <row r="32" spans="1:22" ht="15.75" thickBot="1" x14ac:dyDescent="0.3">
      <c r="A32" s="21">
        <v>28</v>
      </c>
      <c r="B32" s="150">
        <f>'X. Satser pensjonstilskudd'!B32</f>
        <v>0</v>
      </c>
      <c r="C32" s="18">
        <f>'X. Satser pensjonstilskudd'!C32</f>
        <v>0</v>
      </c>
      <c r="D32" s="18" t="str">
        <f>IFERROR(_xlfn.XLOOKUP($C32,factPensjon[Virksomhetsnr.],factPensjon[Forpliktelser]),"")</f>
        <v/>
      </c>
      <c r="E32" s="19">
        <f>SUMIFS(BasilRadata[Heltidsplasser
0-2],BasilRadata[År],'0. Oppsett'!$C$8,BasilRadata[1B. Organisasjonsnummer:],$C32)</f>
        <v>0</v>
      </c>
      <c r="F32" s="25">
        <f>'4. Selvkost og satser'!$B$54</f>
        <v>288170.9461329499</v>
      </c>
      <c r="G32" s="19">
        <f>SUMIFS(BasilRadata[Heltidsplasser
3-6],BasilRadata[År],'0. Oppsett'!$C$8,BasilRadata[1B. Organisasjonsnummer:],$C32)</f>
        <v>0</v>
      </c>
      <c r="H32" s="25">
        <f>'4. Selvkost og satser'!$B$55</f>
        <v>156604.23359926464</v>
      </c>
      <c r="I32" s="26">
        <f t="shared" si="3"/>
        <v>0</v>
      </c>
      <c r="J32" s="20">
        <f>SUMIFS(BasilRadata[8E. Oppgi antall årsverk barnehagen har pensjonsforpliktelser for:],'1. BASIL-rådata'!$I$3:$I$500,'X. Satser pensjonstilskudd'!$C32,BasilRadata[År],'0. Oppsett'!$C$8)</f>
        <v>0</v>
      </c>
      <c r="K32" s="30">
        <f>IFERROR(IF(OR(#REF!="",#REF!=""),0,J32*#REF!*#REF!*(1+'0. Oppsett'!$C$11)),0)</f>
        <v>0</v>
      </c>
      <c r="L32" s="95">
        <f t="shared" si="0"/>
        <v>0</v>
      </c>
      <c r="M32" s="31">
        <f t="shared" si="1"/>
        <v>0</v>
      </c>
      <c r="N32" s="32">
        <f>IFERROR(M32*'0. Oppsett'!$C$30,0)</f>
        <v>0</v>
      </c>
      <c r="O32" s="33">
        <v>0</v>
      </c>
      <c r="P32" s="142"/>
      <c r="Q32" s="142"/>
      <c r="R32" s="142"/>
      <c r="S32" s="142">
        <v>0</v>
      </c>
      <c r="T32" s="33">
        <v>0</v>
      </c>
      <c r="U32" s="34">
        <v>0</v>
      </c>
      <c r="V32" s="35">
        <f t="shared" si="4"/>
        <v>0</v>
      </c>
    </row>
    <row r="33" spans="1:22" ht="15.75" thickBot="1" x14ac:dyDescent="0.3">
      <c r="A33" s="17">
        <v>29</v>
      </c>
      <c r="B33" s="150">
        <f>'X. Satser pensjonstilskudd'!B33</f>
        <v>0</v>
      </c>
      <c r="C33" s="18">
        <f>'X. Satser pensjonstilskudd'!C33</f>
        <v>0</v>
      </c>
      <c r="D33" s="18" t="str">
        <f>IFERROR(_xlfn.XLOOKUP($C33,factPensjon[Virksomhetsnr.],factPensjon[Forpliktelser]),"")</f>
        <v/>
      </c>
      <c r="E33" s="19">
        <f>SUMIFS(BasilRadata[Heltidsplasser
0-2],BasilRadata[År],'0. Oppsett'!$C$8,BasilRadata[1B. Organisasjonsnummer:],$C33)</f>
        <v>0</v>
      </c>
      <c r="F33" s="25">
        <f>'4. Selvkost og satser'!$B$54</f>
        <v>288170.9461329499</v>
      </c>
      <c r="G33" s="19">
        <f>SUMIFS(BasilRadata[Heltidsplasser
3-6],BasilRadata[År],'0. Oppsett'!$C$8,BasilRadata[1B. Organisasjonsnummer:],$C33)</f>
        <v>0</v>
      </c>
      <c r="H33" s="25">
        <f>'4. Selvkost og satser'!$B$55</f>
        <v>156604.23359926464</v>
      </c>
      <c r="I33" s="26">
        <f t="shared" si="3"/>
        <v>0</v>
      </c>
      <c r="J33" s="20">
        <f>SUMIFS(BasilRadata[8E. Oppgi antall årsverk barnehagen har pensjonsforpliktelser for:],'1. BASIL-rådata'!$I$3:$I$500,'X. Satser pensjonstilskudd'!$C33,BasilRadata[År],'0. Oppsett'!$C$8)</f>
        <v>0</v>
      </c>
      <c r="K33" s="30">
        <f>IFERROR(IF(OR(#REF!="",#REF!=""),0,J33*#REF!*#REF!*(1+'0. Oppsett'!$C$11)),0)</f>
        <v>0</v>
      </c>
      <c r="L33" s="95">
        <f t="shared" si="0"/>
        <v>0</v>
      </c>
      <c r="M33" s="31">
        <f t="shared" si="1"/>
        <v>0</v>
      </c>
      <c r="N33" s="32">
        <f>IFERROR(M33*'0. Oppsett'!$C$30,0)</f>
        <v>0</v>
      </c>
      <c r="O33" s="33">
        <v>0</v>
      </c>
      <c r="P33" s="142"/>
      <c r="Q33" s="142"/>
      <c r="R33" s="142"/>
      <c r="S33" s="142">
        <v>0</v>
      </c>
      <c r="T33" s="33">
        <v>0</v>
      </c>
      <c r="U33" s="34">
        <v>0</v>
      </c>
      <c r="V33" s="35">
        <f t="shared" si="4"/>
        <v>0</v>
      </c>
    </row>
    <row r="34" spans="1:22" ht="15.75" thickBot="1" x14ac:dyDescent="0.3">
      <c r="A34" s="21">
        <v>30</v>
      </c>
      <c r="B34" s="150">
        <f>'X. Satser pensjonstilskudd'!B34</f>
        <v>0</v>
      </c>
      <c r="C34" s="18">
        <f>'X. Satser pensjonstilskudd'!C34</f>
        <v>0</v>
      </c>
      <c r="D34" s="18" t="str">
        <f>IFERROR(_xlfn.XLOOKUP($C34,factPensjon[Virksomhetsnr.],factPensjon[Forpliktelser]),"")</f>
        <v/>
      </c>
      <c r="E34" s="19">
        <f>SUMIFS(BasilRadata[Heltidsplasser
0-2],BasilRadata[År],'0. Oppsett'!$C$8,BasilRadata[1B. Organisasjonsnummer:],$C34)</f>
        <v>0</v>
      </c>
      <c r="F34" s="25">
        <f>'4. Selvkost og satser'!$B$54</f>
        <v>288170.9461329499</v>
      </c>
      <c r="G34" s="19">
        <f>SUMIFS(BasilRadata[Heltidsplasser
3-6],BasilRadata[År],'0. Oppsett'!$C$8,BasilRadata[1B. Organisasjonsnummer:],$C34)</f>
        <v>0</v>
      </c>
      <c r="H34" s="25">
        <f>'4. Selvkost og satser'!$B$55</f>
        <v>156604.23359926464</v>
      </c>
      <c r="I34" s="26">
        <f t="shared" si="3"/>
        <v>0</v>
      </c>
      <c r="J34" s="20">
        <f>SUMIFS(BasilRadata[8E. Oppgi antall årsverk barnehagen har pensjonsforpliktelser for:],'1. BASIL-rådata'!$I$3:$I$500,'X. Satser pensjonstilskudd'!$C34,BasilRadata[År],'0. Oppsett'!$C$8)</f>
        <v>0</v>
      </c>
      <c r="K34" s="30">
        <f>IFERROR(IF(OR(#REF!="",#REF!=""),0,J34*#REF!*#REF!*(1+'0. Oppsett'!$C$11)),0)</f>
        <v>0</v>
      </c>
      <c r="L34" s="95">
        <f t="shared" si="0"/>
        <v>0</v>
      </c>
      <c r="M34" s="31">
        <f t="shared" si="1"/>
        <v>0</v>
      </c>
      <c r="N34" s="32">
        <f>IFERROR(M34*'0. Oppsett'!$C$30,0)</f>
        <v>0</v>
      </c>
      <c r="O34" s="33">
        <v>0</v>
      </c>
      <c r="P34" s="142"/>
      <c r="Q34" s="142"/>
      <c r="R34" s="142"/>
      <c r="S34" s="142">
        <v>0</v>
      </c>
      <c r="T34" s="33">
        <v>0</v>
      </c>
      <c r="U34" s="34">
        <v>0</v>
      </c>
      <c r="V34" s="35">
        <f t="shared" si="4"/>
        <v>0</v>
      </c>
    </row>
    <row r="35" spans="1:22" ht="15.75" thickBot="1" x14ac:dyDescent="0.3">
      <c r="A35" s="17">
        <v>31</v>
      </c>
      <c r="B35" s="150">
        <f>'X. Satser pensjonstilskudd'!B35</f>
        <v>0</v>
      </c>
      <c r="C35" s="18">
        <f>'X. Satser pensjonstilskudd'!C35</f>
        <v>0</v>
      </c>
      <c r="D35" s="18" t="str">
        <f>IFERROR(_xlfn.XLOOKUP($C35,factPensjon[Virksomhetsnr.],factPensjon[Forpliktelser]),"")</f>
        <v/>
      </c>
      <c r="E35" s="19">
        <f>SUMIFS(BasilRadata[Heltidsplasser
0-2],BasilRadata[År],'0. Oppsett'!$C$8,BasilRadata[1B. Organisasjonsnummer:],$C35)</f>
        <v>0</v>
      </c>
      <c r="F35" s="25">
        <f>'4. Selvkost og satser'!$B$54</f>
        <v>288170.9461329499</v>
      </c>
      <c r="G35" s="19">
        <f>SUMIFS(BasilRadata[Heltidsplasser
3-6],BasilRadata[År],'0. Oppsett'!$C$8,BasilRadata[1B. Organisasjonsnummer:],$C35)</f>
        <v>0</v>
      </c>
      <c r="H35" s="25">
        <f>'4. Selvkost og satser'!$B$55</f>
        <v>156604.23359926464</v>
      </c>
      <c r="I35" s="26">
        <f t="shared" si="3"/>
        <v>0</v>
      </c>
      <c r="J35" s="20">
        <f>SUMIFS(BasilRadata[8E. Oppgi antall årsverk barnehagen har pensjonsforpliktelser for:],'1. BASIL-rådata'!$I$3:$I$500,'X. Satser pensjonstilskudd'!$C35,BasilRadata[År],'0. Oppsett'!$C$8)</f>
        <v>0</v>
      </c>
      <c r="K35" s="30">
        <f>IFERROR(IF(OR(#REF!="",#REF!=""),0,J35*#REF!*#REF!*(1+'0. Oppsett'!$C$11)),0)</f>
        <v>0</v>
      </c>
      <c r="L35" s="95">
        <f t="shared" si="0"/>
        <v>0</v>
      </c>
      <c r="M35" s="31">
        <f t="shared" si="1"/>
        <v>0</v>
      </c>
      <c r="N35" s="32">
        <f>IFERROR(M35*'0. Oppsett'!$C$30,0)</f>
        <v>0</v>
      </c>
      <c r="O35" s="33">
        <v>0</v>
      </c>
      <c r="P35" s="142"/>
      <c r="Q35" s="142"/>
      <c r="R35" s="142"/>
      <c r="S35" s="142">
        <v>0</v>
      </c>
      <c r="T35" s="33">
        <v>0</v>
      </c>
      <c r="U35" s="34">
        <v>0</v>
      </c>
      <c r="V35" s="35">
        <f t="shared" si="4"/>
        <v>0</v>
      </c>
    </row>
    <row r="36" spans="1:22" ht="15.75" thickBot="1" x14ac:dyDescent="0.3">
      <c r="A36" s="21">
        <v>32</v>
      </c>
      <c r="B36" s="150">
        <f>'X. Satser pensjonstilskudd'!B36</f>
        <v>0</v>
      </c>
      <c r="C36" s="18">
        <f>'X. Satser pensjonstilskudd'!C36</f>
        <v>0</v>
      </c>
      <c r="D36" s="18" t="str">
        <f>IFERROR(_xlfn.XLOOKUP($C36,factPensjon[Virksomhetsnr.],factPensjon[Forpliktelser]),"")</f>
        <v/>
      </c>
      <c r="E36" s="19">
        <f>SUMIFS(BasilRadata[Heltidsplasser
0-2],BasilRadata[År],'0. Oppsett'!$C$8,BasilRadata[1B. Organisasjonsnummer:],$C36)</f>
        <v>0</v>
      </c>
      <c r="F36" s="25">
        <f>'4. Selvkost og satser'!$B$54</f>
        <v>288170.9461329499</v>
      </c>
      <c r="G36" s="19">
        <f>SUMIFS(BasilRadata[Heltidsplasser
3-6],BasilRadata[År],'0. Oppsett'!$C$8,BasilRadata[1B. Organisasjonsnummer:],$C36)</f>
        <v>0</v>
      </c>
      <c r="H36" s="25">
        <f>'4. Selvkost og satser'!$B$55</f>
        <v>156604.23359926464</v>
      </c>
      <c r="I36" s="26">
        <f t="shared" si="3"/>
        <v>0</v>
      </c>
      <c r="J36" s="20">
        <f>SUMIFS(BasilRadata[8E. Oppgi antall årsverk barnehagen har pensjonsforpliktelser for:],'1. BASIL-rådata'!$I$3:$I$500,'X. Satser pensjonstilskudd'!$C36,BasilRadata[År],'0. Oppsett'!$C$8)</f>
        <v>0</v>
      </c>
      <c r="K36" s="30">
        <f>IFERROR(IF(OR(#REF!="",#REF!=""),0,J36*#REF!*#REF!*(1+'0. Oppsett'!$C$11)),0)</f>
        <v>0</v>
      </c>
      <c r="L36" s="95">
        <f t="shared" si="0"/>
        <v>0</v>
      </c>
      <c r="M36" s="31">
        <f t="shared" si="1"/>
        <v>0</v>
      </c>
      <c r="N36" s="32">
        <f>IFERROR(M36*'0. Oppsett'!$C$30,0)</f>
        <v>0</v>
      </c>
      <c r="O36" s="33">
        <v>0</v>
      </c>
      <c r="P36" s="142"/>
      <c r="Q36" s="142"/>
      <c r="R36" s="142"/>
      <c r="S36" s="142">
        <v>0</v>
      </c>
      <c r="T36" s="33">
        <v>0</v>
      </c>
      <c r="U36" s="34">
        <v>0</v>
      </c>
      <c r="V36" s="35">
        <f t="shared" si="4"/>
        <v>0</v>
      </c>
    </row>
    <row r="37" spans="1:22" ht="15.75" thickBot="1" x14ac:dyDescent="0.3">
      <c r="A37" s="17">
        <v>33</v>
      </c>
      <c r="B37" s="150">
        <f>'X. Satser pensjonstilskudd'!B37</f>
        <v>0</v>
      </c>
      <c r="C37" s="18">
        <f>'X. Satser pensjonstilskudd'!C37</f>
        <v>0</v>
      </c>
      <c r="D37" s="18" t="str">
        <f>IFERROR(_xlfn.XLOOKUP($C37,factPensjon[Virksomhetsnr.],factPensjon[Forpliktelser]),"")</f>
        <v/>
      </c>
      <c r="E37" s="19">
        <f>SUMIFS(BasilRadata[Heltidsplasser
0-2],BasilRadata[År],'0. Oppsett'!$C$8,BasilRadata[1B. Organisasjonsnummer:],$C37)</f>
        <v>0</v>
      </c>
      <c r="F37" s="25">
        <f>'4. Selvkost og satser'!$B$54</f>
        <v>288170.9461329499</v>
      </c>
      <c r="G37" s="19">
        <f>SUMIFS(BasilRadata[Heltidsplasser
3-6],BasilRadata[År],'0. Oppsett'!$C$8,BasilRadata[1B. Organisasjonsnummer:],$C37)</f>
        <v>0</v>
      </c>
      <c r="H37" s="25">
        <f>'4. Selvkost og satser'!$B$55</f>
        <v>156604.23359926464</v>
      </c>
      <c r="I37" s="26">
        <f t="shared" si="3"/>
        <v>0</v>
      </c>
      <c r="J37" s="20">
        <f>SUMIFS(BasilRadata[8E. Oppgi antall årsverk barnehagen har pensjonsforpliktelser for:],'1. BASIL-rådata'!$I$3:$I$500,'X. Satser pensjonstilskudd'!$C37,BasilRadata[År],'0. Oppsett'!$C$8)</f>
        <v>0</v>
      </c>
      <c r="K37" s="30">
        <f>IFERROR(IF(OR(#REF!="",#REF!=""),0,J37*#REF!*#REF!*(1+'0. Oppsett'!$C$11)),0)</f>
        <v>0</v>
      </c>
      <c r="L37" s="95">
        <f t="shared" si="0"/>
        <v>0</v>
      </c>
      <c r="M37" s="31">
        <f t="shared" si="1"/>
        <v>0</v>
      </c>
      <c r="N37" s="32">
        <f>IFERROR(M37*'0. Oppsett'!$C$30,0)</f>
        <v>0</v>
      </c>
      <c r="O37" s="33">
        <v>0</v>
      </c>
      <c r="P37" s="142"/>
      <c r="Q37" s="142"/>
      <c r="R37" s="142"/>
      <c r="S37" s="142">
        <v>0</v>
      </c>
      <c r="T37" s="33">
        <v>0</v>
      </c>
      <c r="U37" s="34">
        <v>0</v>
      </c>
      <c r="V37" s="35">
        <f t="shared" si="4"/>
        <v>0</v>
      </c>
    </row>
    <row r="38" spans="1:22" ht="15.75" thickBot="1" x14ac:dyDescent="0.3">
      <c r="A38" s="21">
        <v>34</v>
      </c>
      <c r="B38" s="150">
        <f>'X. Satser pensjonstilskudd'!B38</f>
        <v>0</v>
      </c>
      <c r="C38" s="18">
        <f>'X. Satser pensjonstilskudd'!C38</f>
        <v>0</v>
      </c>
      <c r="D38" s="18" t="str">
        <f>IFERROR(_xlfn.XLOOKUP($C38,factPensjon[Virksomhetsnr.],factPensjon[Forpliktelser]),"")</f>
        <v/>
      </c>
      <c r="E38" s="19">
        <f>SUMIFS(BasilRadata[Heltidsplasser
0-2],BasilRadata[År],'0. Oppsett'!$C$8,BasilRadata[1B. Organisasjonsnummer:],$C38)</f>
        <v>0</v>
      </c>
      <c r="F38" s="25">
        <f>'4. Selvkost og satser'!$B$54</f>
        <v>288170.9461329499</v>
      </c>
      <c r="G38" s="19">
        <f>SUMIFS(BasilRadata[Heltidsplasser
3-6],BasilRadata[År],'0. Oppsett'!$C$8,BasilRadata[1B. Organisasjonsnummer:],$C38)</f>
        <v>0</v>
      </c>
      <c r="H38" s="25">
        <f>'4. Selvkost og satser'!$B$55</f>
        <v>156604.23359926464</v>
      </c>
      <c r="I38" s="26">
        <f t="shared" si="3"/>
        <v>0</v>
      </c>
      <c r="J38" s="20">
        <f>SUMIFS(BasilRadata[8E. Oppgi antall årsverk barnehagen har pensjonsforpliktelser for:],'1. BASIL-rådata'!$I$3:$I$500,'X. Satser pensjonstilskudd'!$C38,BasilRadata[År],'0. Oppsett'!$C$8)</f>
        <v>0</v>
      </c>
      <c r="K38" s="30">
        <f>IFERROR(IF(OR(#REF!="",#REF!=""),0,J38*#REF!*#REF!*(1+'0. Oppsett'!$C$11)),0)</f>
        <v>0</v>
      </c>
      <c r="L38" s="95">
        <f t="shared" si="0"/>
        <v>0</v>
      </c>
      <c r="M38" s="31">
        <f t="shared" si="1"/>
        <v>0</v>
      </c>
      <c r="N38" s="32">
        <f>IFERROR(M38*'0. Oppsett'!$C$30,0)</f>
        <v>0</v>
      </c>
      <c r="O38" s="33">
        <v>0</v>
      </c>
      <c r="P38" s="142"/>
      <c r="Q38" s="142"/>
      <c r="R38" s="142"/>
      <c r="S38" s="142">
        <v>0</v>
      </c>
      <c r="T38" s="33">
        <v>0</v>
      </c>
      <c r="U38" s="34">
        <v>0</v>
      </c>
      <c r="V38" s="35">
        <f t="shared" si="4"/>
        <v>0</v>
      </c>
    </row>
    <row r="39" spans="1:22" ht="15.75" thickBot="1" x14ac:dyDescent="0.3">
      <c r="A39" s="17">
        <v>35</v>
      </c>
      <c r="B39" s="150">
        <f>'X. Satser pensjonstilskudd'!B39</f>
        <v>0</v>
      </c>
      <c r="C39" s="18">
        <f>'X. Satser pensjonstilskudd'!C39</f>
        <v>0</v>
      </c>
      <c r="D39" s="18" t="str">
        <f>IFERROR(_xlfn.XLOOKUP($C39,factPensjon[Virksomhetsnr.],factPensjon[Forpliktelser]),"")</f>
        <v/>
      </c>
      <c r="E39" s="19">
        <f>SUMIFS(BasilRadata[Heltidsplasser
0-2],BasilRadata[År],'0. Oppsett'!$C$8,BasilRadata[1B. Organisasjonsnummer:],$C39)</f>
        <v>0</v>
      </c>
      <c r="F39" s="25">
        <f>'4. Selvkost og satser'!$B$54</f>
        <v>288170.9461329499</v>
      </c>
      <c r="G39" s="19">
        <f>SUMIFS(BasilRadata[Heltidsplasser
3-6],BasilRadata[År],'0. Oppsett'!$C$8,BasilRadata[1B. Organisasjonsnummer:],$C39)</f>
        <v>0</v>
      </c>
      <c r="H39" s="25">
        <f>'4. Selvkost og satser'!$B$55</f>
        <v>156604.23359926464</v>
      </c>
      <c r="I39" s="26">
        <f t="shared" si="3"/>
        <v>0</v>
      </c>
      <c r="J39" s="20">
        <f>SUMIFS(BasilRadata[8E. Oppgi antall årsverk barnehagen har pensjonsforpliktelser for:],'1. BASIL-rådata'!$I$3:$I$500,'X. Satser pensjonstilskudd'!$C39,BasilRadata[År],'0. Oppsett'!$C$8)</f>
        <v>0</v>
      </c>
      <c r="K39" s="30">
        <f>IFERROR(IF(OR(#REF!="",#REF!=""),0,J39*#REF!*#REF!*(1+'0. Oppsett'!$C$11)),0)</f>
        <v>0</v>
      </c>
      <c r="L39" s="95">
        <f t="shared" si="0"/>
        <v>0</v>
      </c>
      <c r="M39" s="31">
        <f t="shared" si="1"/>
        <v>0</v>
      </c>
      <c r="N39" s="32">
        <f>IFERROR(M39*'0. Oppsett'!$C$30,0)</f>
        <v>0</v>
      </c>
      <c r="O39" s="33">
        <v>0</v>
      </c>
      <c r="P39" s="142"/>
      <c r="Q39" s="142"/>
      <c r="R39" s="142"/>
      <c r="S39" s="142">
        <v>0</v>
      </c>
      <c r="T39" s="33">
        <v>0</v>
      </c>
      <c r="U39" s="34">
        <v>0</v>
      </c>
      <c r="V39" s="35">
        <f t="shared" si="4"/>
        <v>0</v>
      </c>
    </row>
    <row r="40" spans="1:22" ht="15.75" thickBot="1" x14ac:dyDescent="0.3">
      <c r="A40" s="21">
        <v>36</v>
      </c>
      <c r="B40" s="150">
        <f>'X. Satser pensjonstilskudd'!B40</f>
        <v>0</v>
      </c>
      <c r="C40" s="18">
        <f>'X. Satser pensjonstilskudd'!C40</f>
        <v>0</v>
      </c>
      <c r="D40" s="18" t="str">
        <f>IFERROR(_xlfn.XLOOKUP($C40,factPensjon[Virksomhetsnr.],factPensjon[Forpliktelser]),"")</f>
        <v/>
      </c>
      <c r="E40" s="19">
        <f>SUMIFS(BasilRadata[Heltidsplasser
0-2],BasilRadata[År],'0. Oppsett'!$C$8,BasilRadata[1B. Organisasjonsnummer:],$C40)</f>
        <v>0</v>
      </c>
      <c r="F40" s="25">
        <f>'4. Selvkost og satser'!$B$54</f>
        <v>288170.9461329499</v>
      </c>
      <c r="G40" s="19">
        <f>SUMIFS(BasilRadata[Heltidsplasser
3-6],BasilRadata[År],'0. Oppsett'!$C$8,BasilRadata[1B. Organisasjonsnummer:],$C40)</f>
        <v>0</v>
      </c>
      <c r="H40" s="25">
        <f>'4. Selvkost og satser'!$B$55</f>
        <v>156604.23359926464</v>
      </c>
      <c r="I40" s="26">
        <f t="shared" si="3"/>
        <v>0</v>
      </c>
      <c r="J40" s="20">
        <f>SUMIFS(BasilRadata[8E. Oppgi antall årsverk barnehagen har pensjonsforpliktelser for:],'1. BASIL-rådata'!$I$3:$I$500,'X. Satser pensjonstilskudd'!$C40,BasilRadata[År],'0. Oppsett'!$C$8)</f>
        <v>0</v>
      </c>
      <c r="K40" s="30">
        <f>IFERROR(IF(OR(#REF!="",#REF!=""),0,J40*#REF!*#REF!*(1+'0. Oppsett'!$C$11)),0)</f>
        <v>0</v>
      </c>
      <c r="L40" s="95">
        <f t="shared" si="0"/>
        <v>0</v>
      </c>
      <c r="M40" s="31">
        <f t="shared" si="1"/>
        <v>0</v>
      </c>
      <c r="N40" s="32">
        <f>IFERROR(M40*'0. Oppsett'!$C$30,0)</f>
        <v>0</v>
      </c>
      <c r="O40" s="33">
        <v>0</v>
      </c>
      <c r="P40" s="142"/>
      <c r="Q40" s="142"/>
      <c r="R40" s="142"/>
      <c r="S40" s="142">
        <v>0</v>
      </c>
      <c r="T40" s="33">
        <v>0</v>
      </c>
      <c r="U40" s="34">
        <v>0</v>
      </c>
      <c r="V40" s="35">
        <f t="shared" si="4"/>
        <v>0</v>
      </c>
    </row>
    <row r="41" spans="1:22" ht="15.75" thickBot="1" x14ac:dyDescent="0.3">
      <c r="A41" s="17">
        <v>37</v>
      </c>
      <c r="B41" s="150">
        <f>'X. Satser pensjonstilskudd'!B41</f>
        <v>0</v>
      </c>
      <c r="C41" s="18">
        <f>'X. Satser pensjonstilskudd'!C41</f>
        <v>0</v>
      </c>
      <c r="D41" s="18" t="str">
        <f>IFERROR(_xlfn.XLOOKUP($C41,factPensjon[Virksomhetsnr.],factPensjon[Forpliktelser]),"")</f>
        <v/>
      </c>
      <c r="E41" s="19">
        <f>SUMIFS(BasilRadata[Heltidsplasser
0-2],BasilRadata[År],'0. Oppsett'!$C$8,BasilRadata[1B. Organisasjonsnummer:],$C41)</f>
        <v>0</v>
      </c>
      <c r="F41" s="25">
        <f>'4. Selvkost og satser'!$B$54</f>
        <v>288170.9461329499</v>
      </c>
      <c r="G41" s="19">
        <f>SUMIFS(BasilRadata[Heltidsplasser
3-6],BasilRadata[År],'0. Oppsett'!$C$8,BasilRadata[1B. Organisasjonsnummer:],$C41)</f>
        <v>0</v>
      </c>
      <c r="H41" s="25">
        <f>'4. Selvkost og satser'!$B$55</f>
        <v>156604.23359926464</v>
      </c>
      <c r="I41" s="26">
        <f t="shared" si="3"/>
        <v>0</v>
      </c>
      <c r="J41" s="20">
        <f>SUMIFS(BasilRadata[8E. Oppgi antall årsverk barnehagen har pensjonsforpliktelser for:],'1. BASIL-rådata'!$I$3:$I$500,'X. Satser pensjonstilskudd'!$C41,BasilRadata[År],'0. Oppsett'!$C$8)</f>
        <v>0</v>
      </c>
      <c r="K41" s="30">
        <f>IFERROR(IF(OR(#REF!="",#REF!=""),0,J41*#REF!*#REF!*(1+'0. Oppsett'!$C$11)),0)</f>
        <v>0</v>
      </c>
      <c r="L41" s="95">
        <f t="shared" si="0"/>
        <v>0</v>
      </c>
      <c r="M41" s="31">
        <f t="shared" si="1"/>
        <v>0</v>
      </c>
      <c r="N41" s="32">
        <f>IFERROR(M41*'0. Oppsett'!$C$30,0)</f>
        <v>0</v>
      </c>
      <c r="O41" s="33">
        <v>0</v>
      </c>
      <c r="P41" s="142"/>
      <c r="Q41" s="142"/>
      <c r="R41" s="142"/>
      <c r="S41" s="142">
        <v>0</v>
      </c>
      <c r="T41" s="33">
        <v>0</v>
      </c>
      <c r="U41" s="34">
        <v>0</v>
      </c>
      <c r="V41" s="35">
        <f t="shared" si="4"/>
        <v>0</v>
      </c>
    </row>
    <row r="42" spans="1:22" ht="15.75" thickBot="1" x14ac:dyDescent="0.3">
      <c r="A42" s="21">
        <v>38</v>
      </c>
      <c r="B42" s="150">
        <f>'X. Satser pensjonstilskudd'!B42</f>
        <v>0</v>
      </c>
      <c r="C42" s="18">
        <f>'X. Satser pensjonstilskudd'!C42</f>
        <v>0</v>
      </c>
      <c r="D42" s="18" t="str">
        <f>IFERROR(_xlfn.XLOOKUP($C42,factPensjon[Virksomhetsnr.],factPensjon[Forpliktelser]),"")</f>
        <v/>
      </c>
      <c r="E42" s="19">
        <f>SUMIFS(BasilRadata[Heltidsplasser
0-2],BasilRadata[År],'0. Oppsett'!$C$8,BasilRadata[1B. Organisasjonsnummer:],$C42)</f>
        <v>0</v>
      </c>
      <c r="F42" s="25">
        <f>'4. Selvkost og satser'!$B$54</f>
        <v>288170.9461329499</v>
      </c>
      <c r="G42" s="19">
        <f>SUMIFS(BasilRadata[Heltidsplasser
3-6],BasilRadata[År],'0. Oppsett'!$C$8,BasilRadata[1B. Organisasjonsnummer:],$C42)</f>
        <v>0</v>
      </c>
      <c r="H42" s="25">
        <f>'4. Selvkost og satser'!$B$55</f>
        <v>156604.23359926464</v>
      </c>
      <c r="I42" s="26">
        <f t="shared" si="3"/>
        <v>0</v>
      </c>
      <c r="J42" s="20">
        <f>SUMIFS(BasilRadata[8E. Oppgi antall årsverk barnehagen har pensjonsforpliktelser for:],'1. BASIL-rådata'!$I$3:$I$500,'X. Satser pensjonstilskudd'!$C42,BasilRadata[År],'0. Oppsett'!$C$8)</f>
        <v>0</v>
      </c>
      <c r="K42" s="30">
        <f>IFERROR(IF(OR(#REF!="",#REF!=""),0,J42*#REF!*#REF!*(1+'0. Oppsett'!$C$11)),0)</f>
        <v>0</v>
      </c>
      <c r="L42" s="95">
        <f t="shared" si="0"/>
        <v>0</v>
      </c>
      <c r="M42" s="31">
        <f t="shared" si="1"/>
        <v>0</v>
      </c>
      <c r="N42" s="32">
        <f>IFERROR(M42*'0. Oppsett'!$C$30,0)</f>
        <v>0</v>
      </c>
      <c r="O42" s="33">
        <v>0</v>
      </c>
      <c r="P42" s="142"/>
      <c r="Q42" s="142"/>
      <c r="R42" s="142"/>
      <c r="S42" s="142">
        <v>0</v>
      </c>
      <c r="T42" s="33">
        <v>0</v>
      </c>
      <c r="U42" s="34">
        <v>0</v>
      </c>
      <c r="V42" s="35">
        <f t="shared" si="4"/>
        <v>0</v>
      </c>
    </row>
    <row r="43" spans="1:22" ht="15.75" thickBot="1" x14ac:dyDescent="0.3">
      <c r="A43" s="17">
        <v>39</v>
      </c>
      <c r="B43" s="150">
        <f>'X. Satser pensjonstilskudd'!B43</f>
        <v>0</v>
      </c>
      <c r="C43" s="18">
        <f>'X. Satser pensjonstilskudd'!C43</f>
        <v>0</v>
      </c>
      <c r="D43" s="18" t="str">
        <f>IFERROR(_xlfn.XLOOKUP($C43,factPensjon[Virksomhetsnr.],factPensjon[Forpliktelser]),"")</f>
        <v/>
      </c>
      <c r="E43" s="19">
        <f>SUMIFS(BasilRadata[Heltidsplasser
0-2],BasilRadata[År],'0. Oppsett'!$C$8,BasilRadata[1B. Organisasjonsnummer:],$C43)</f>
        <v>0</v>
      </c>
      <c r="F43" s="25">
        <f>'4. Selvkost og satser'!$B$54</f>
        <v>288170.9461329499</v>
      </c>
      <c r="G43" s="19">
        <f>SUMIFS(BasilRadata[Heltidsplasser
3-6],BasilRadata[År],'0. Oppsett'!$C$8,BasilRadata[1B. Organisasjonsnummer:],$C43)</f>
        <v>0</v>
      </c>
      <c r="H43" s="25">
        <f>'4. Selvkost og satser'!$B$55</f>
        <v>156604.23359926464</v>
      </c>
      <c r="I43" s="26">
        <f t="shared" si="3"/>
        <v>0</v>
      </c>
      <c r="J43" s="20">
        <f>SUMIFS(BasilRadata[8E. Oppgi antall årsverk barnehagen har pensjonsforpliktelser for:],'1. BASIL-rådata'!$I$3:$I$500,'X. Satser pensjonstilskudd'!$C43,BasilRadata[År],'0. Oppsett'!$C$8)</f>
        <v>0</v>
      </c>
      <c r="K43" s="30">
        <f>IFERROR(IF(OR(#REF!="",#REF!=""),0,J43*#REF!*#REF!*(1+'0. Oppsett'!$C$11)),0)</f>
        <v>0</v>
      </c>
      <c r="L43" s="95">
        <f t="shared" si="0"/>
        <v>0</v>
      </c>
      <c r="M43" s="31">
        <f t="shared" si="1"/>
        <v>0</v>
      </c>
      <c r="N43" s="32">
        <f>IFERROR(M43*'0. Oppsett'!$C$30,0)</f>
        <v>0</v>
      </c>
      <c r="O43" s="33">
        <v>0</v>
      </c>
      <c r="P43" s="142"/>
      <c r="Q43" s="142"/>
      <c r="R43" s="142"/>
      <c r="S43" s="142">
        <v>0</v>
      </c>
      <c r="T43" s="33">
        <v>0</v>
      </c>
      <c r="U43" s="34">
        <v>0</v>
      </c>
      <c r="V43" s="35">
        <f t="shared" si="4"/>
        <v>0</v>
      </c>
    </row>
    <row r="44" spans="1:22" ht="15.75" thickBot="1" x14ac:dyDescent="0.3">
      <c r="A44" s="21">
        <v>40</v>
      </c>
      <c r="B44" s="150">
        <f>'X. Satser pensjonstilskudd'!B44</f>
        <v>0</v>
      </c>
      <c r="C44" s="18">
        <f>'X. Satser pensjonstilskudd'!C44</f>
        <v>0</v>
      </c>
      <c r="D44" s="18" t="str">
        <f>IFERROR(_xlfn.XLOOKUP($C44,factPensjon[Virksomhetsnr.],factPensjon[Forpliktelser]),"")</f>
        <v/>
      </c>
      <c r="E44" s="19">
        <f>SUMIFS(BasilRadata[Heltidsplasser
0-2],BasilRadata[År],'0. Oppsett'!$C$8,BasilRadata[1B. Organisasjonsnummer:],$C44)</f>
        <v>0</v>
      </c>
      <c r="F44" s="25">
        <f>'4. Selvkost og satser'!$B$54</f>
        <v>288170.9461329499</v>
      </c>
      <c r="G44" s="19">
        <f>SUMIFS(BasilRadata[Heltidsplasser
3-6],BasilRadata[År],'0. Oppsett'!$C$8,BasilRadata[1B. Organisasjonsnummer:],$C44)</f>
        <v>0</v>
      </c>
      <c r="H44" s="25">
        <f>'4. Selvkost og satser'!$B$55</f>
        <v>156604.23359926464</v>
      </c>
      <c r="I44" s="26">
        <f t="shared" si="3"/>
        <v>0</v>
      </c>
      <c r="J44" s="20">
        <f>SUMIFS(BasilRadata[8E. Oppgi antall årsverk barnehagen har pensjonsforpliktelser for:],'1. BASIL-rådata'!$I$3:$I$500,'X. Satser pensjonstilskudd'!$C44,BasilRadata[År],'0. Oppsett'!$C$8)</f>
        <v>0</v>
      </c>
      <c r="K44" s="30">
        <f>IFERROR(IF(OR(#REF!="",#REF!=""),0,J44*#REF!*#REF!*(1+'0. Oppsett'!$C$11)),0)</f>
        <v>0</v>
      </c>
      <c r="L44" s="95">
        <f t="shared" si="0"/>
        <v>0</v>
      </c>
      <c r="M44" s="31">
        <f t="shared" si="1"/>
        <v>0</v>
      </c>
      <c r="N44" s="32">
        <f>IFERROR(M44*'0. Oppsett'!$C$30,0)</f>
        <v>0</v>
      </c>
      <c r="O44" s="33">
        <v>0</v>
      </c>
      <c r="P44" s="142"/>
      <c r="Q44" s="142"/>
      <c r="R44" s="142"/>
      <c r="S44" s="142">
        <v>0</v>
      </c>
      <c r="T44" s="33">
        <v>0</v>
      </c>
      <c r="U44" s="34">
        <v>0</v>
      </c>
      <c r="V44" s="35">
        <f t="shared" si="4"/>
        <v>0</v>
      </c>
    </row>
    <row r="45" spans="1:22" ht="15.75" thickBot="1" x14ac:dyDescent="0.3">
      <c r="A45" s="17">
        <v>41</v>
      </c>
      <c r="B45" s="150">
        <f>'X. Satser pensjonstilskudd'!B45</f>
        <v>0</v>
      </c>
      <c r="C45" s="18">
        <f>'X. Satser pensjonstilskudd'!C45</f>
        <v>0</v>
      </c>
      <c r="D45" s="18" t="str">
        <f>IFERROR(_xlfn.XLOOKUP($C45,factPensjon[Virksomhetsnr.],factPensjon[Forpliktelser]),"")</f>
        <v/>
      </c>
      <c r="E45" s="19">
        <f>SUMIFS(BasilRadata[Heltidsplasser
0-2],BasilRadata[År],'0. Oppsett'!$C$8,BasilRadata[1B. Organisasjonsnummer:],$C45)</f>
        <v>0</v>
      </c>
      <c r="F45" s="25">
        <f>'4. Selvkost og satser'!$B$54</f>
        <v>288170.9461329499</v>
      </c>
      <c r="G45" s="19">
        <f>SUMIFS(BasilRadata[Heltidsplasser
3-6],BasilRadata[År],'0. Oppsett'!$C$8,BasilRadata[1B. Organisasjonsnummer:],$C45)</f>
        <v>0</v>
      </c>
      <c r="H45" s="25">
        <f>'4. Selvkost og satser'!$B$55</f>
        <v>156604.23359926464</v>
      </c>
      <c r="I45" s="26">
        <f t="shared" si="3"/>
        <v>0</v>
      </c>
      <c r="J45" s="20">
        <f>SUMIFS(BasilRadata[8E. Oppgi antall årsverk barnehagen har pensjonsforpliktelser for:],'1. BASIL-rådata'!$I$3:$I$500,'X. Satser pensjonstilskudd'!$C45,BasilRadata[År],'0. Oppsett'!$C$8)</f>
        <v>0</v>
      </c>
      <c r="K45" s="30">
        <f>IFERROR(IF(OR(#REF!="",#REF!=""),0,J45*#REF!*#REF!*(1+'0. Oppsett'!$C$11)),0)</f>
        <v>0</v>
      </c>
      <c r="L45" s="95">
        <f t="shared" si="0"/>
        <v>0</v>
      </c>
      <c r="M45" s="31">
        <f t="shared" si="1"/>
        <v>0</v>
      </c>
      <c r="N45" s="32">
        <f>IFERROR(M45*'0. Oppsett'!$C$30,0)</f>
        <v>0</v>
      </c>
      <c r="O45" s="33">
        <v>0</v>
      </c>
      <c r="P45" s="142"/>
      <c r="Q45" s="142"/>
      <c r="R45" s="142"/>
      <c r="S45" s="142">
        <v>0</v>
      </c>
      <c r="T45" s="33">
        <v>0</v>
      </c>
      <c r="U45" s="34">
        <v>0</v>
      </c>
      <c r="V45" s="35">
        <f t="shared" si="4"/>
        <v>0</v>
      </c>
    </row>
    <row r="46" spans="1:22" ht="15.75" thickBot="1" x14ac:dyDescent="0.3">
      <c r="A46" s="21">
        <v>42</v>
      </c>
      <c r="B46" s="150">
        <f>'X. Satser pensjonstilskudd'!B46</f>
        <v>0</v>
      </c>
      <c r="C46" s="18">
        <f>'X. Satser pensjonstilskudd'!C46</f>
        <v>0</v>
      </c>
      <c r="D46" s="18" t="str">
        <f>IFERROR(_xlfn.XLOOKUP($C46,factPensjon[Virksomhetsnr.],factPensjon[Forpliktelser]),"")</f>
        <v/>
      </c>
      <c r="E46" s="19">
        <f>SUMIFS(BasilRadata[Heltidsplasser
0-2],BasilRadata[År],'0. Oppsett'!$C$8,BasilRadata[1B. Organisasjonsnummer:],$C46)</f>
        <v>0</v>
      </c>
      <c r="F46" s="25">
        <f>'4. Selvkost og satser'!$B$54</f>
        <v>288170.9461329499</v>
      </c>
      <c r="G46" s="19">
        <f>SUMIFS(BasilRadata[Heltidsplasser
3-6],BasilRadata[År],'0. Oppsett'!$C$8,BasilRadata[1B. Organisasjonsnummer:],$C46)</f>
        <v>0</v>
      </c>
      <c r="H46" s="25">
        <f>'4. Selvkost og satser'!$B$55</f>
        <v>156604.23359926464</v>
      </c>
      <c r="I46" s="26">
        <f t="shared" si="3"/>
        <v>0</v>
      </c>
      <c r="J46" s="20">
        <f>SUMIFS(BasilRadata[8E. Oppgi antall årsverk barnehagen har pensjonsforpliktelser for:],'1. BASIL-rådata'!$I$3:$I$500,'X. Satser pensjonstilskudd'!$C46,BasilRadata[År],'0. Oppsett'!$C$8)</f>
        <v>0</v>
      </c>
      <c r="K46" s="30">
        <f>IFERROR(IF(OR(#REF!="",#REF!=""),0,J46*#REF!*#REF!*(1+'0. Oppsett'!$C$11)),0)</f>
        <v>0</v>
      </c>
      <c r="L46" s="95">
        <f t="shared" si="0"/>
        <v>0</v>
      </c>
      <c r="M46" s="31">
        <f t="shared" si="1"/>
        <v>0</v>
      </c>
      <c r="N46" s="32">
        <f>IFERROR(M46*'0. Oppsett'!$C$30,0)</f>
        <v>0</v>
      </c>
      <c r="O46" s="33">
        <v>0</v>
      </c>
      <c r="P46" s="142"/>
      <c r="Q46" s="142"/>
      <c r="R46" s="142"/>
      <c r="S46" s="142">
        <v>0</v>
      </c>
      <c r="T46" s="33">
        <v>0</v>
      </c>
      <c r="U46" s="34">
        <v>0</v>
      </c>
      <c r="V46" s="35">
        <f t="shared" si="4"/>
        <v>0</v>
      </c>
    </row>
    <row r="47" spans="1:22" ht="15.75" thickBot="1" x14ac:dyDescent="0.3">
      <c r="A47" s="17">
        <v>43</v>
      </c>
      <c r="B47" s="150">
        <f>'X. Satser pensjonstilskudd'!B47</f>
        <v>0</v>
      </c>
      <c r="C47" s="18">
        <f>'X. Satser pensjonstilskudd'!C47</f>
        <v>0</v>
      </c>
      <c r="D47" s="18" t="str">
        <f>IFERROR(_xlfn.XLOOKUP($C47,factPensjon[Virksomhetsnr.],factPensjon[Forpliktelser]),"")</f>
        <v/>
      </c>
      <c r="E47" s="19">
        <f>SUMIFS(BasilRadata[Heltidsplasser
0-2],BasilRadata[År],'0. Oppsett'!$C$8,BasilRadata[1B. Organisasjonsnummer:],$C47)</f>
        <v>0</v>
      </c>
      <c r="F47" s="25">
        <f>'4. Selvkost og satser'!$B$54</f>
        <v>288170.9461329499</v>
      </c>
      <c r="G47" s="19">
        <f>SUMIFS(BasilRadata[Heltidsplasser
3-6],BasilRadata[År],'0. Oppsett'!$C$8,BasilRadata[1B. Organisasjonsnummer:],$C47)</f>
        <v>0</v>
      </c>
      <c r="H47" s="25">
        <f>'4. Selvkost og satser'!$B$55</f>
        <v>156604.23359926464</v>
      </c>
      <c r="I47" s="26">
        <f t="shared" si="3"/>
        <v>0</v>
      </c>
      <c r="J47" s="20">
        <f>SUMIFS(BasilRadata[8E. Oppgi antall årsverk barnehagen har pensjonsforpliktelser for:],'1. BASIL-rådata'!$I$3:$I$500,'X. Satser pensjonstilskudd'!$C47,BasilRadata[År],'0. Oppsett'!$C$8)</f>
        <v>0</v>
      </c>
      <c r="K47" s="30">
        <f>IFERROR(IF(OR(#REF!="",#REF!=""),0,J47*#REF!*#REF!*(1+'0. Oppsett'!$C$11)),0)</f>
        <v>0</v>
      </c>
      <c r="L47" s="95">
        <f t="shared" si="0"/>
        <v>0</v>
      </c>
      <c r="M47" s="31">
        <f t="shared" si="1"/>
        <v>0</v>
      </c>
      <c r="N47" s="32">
        <f>IFERROR(M47*'0. Oppsett'!$C$30,0)</f>
        <v>0</v>
      </c>
      <c r="O47" s="33">
        <v>0</v>
      </c>
      <c r="P47" s="142"/>
      <c r="Q47" s="142"/>
      <c r="R47" s="142"/>
      <c r="S47" s="142">
        <v>0</v>
      </c>
      <c r="T47" s="33">
        <v>0</v>
      </c>
      <c r="U47" s="34">
        <v>0</v>
      </c>
      <c r="V47" s="35">
        <f t="shared" si="4"/>
        <v>0</v>
      </c>
    </row>
    <row r="48" spans="1:22" ht="15.75" thickBot="1" x14ac:dyDescent="0.3">
      <c r="A48" s="21">
        <v>44</v>
      </c>
      <c r="B48" s="150">
        <f>'X. Satser pensjonstilskudd'!B48</f>
        <v>0</v>
      </c>
      <c r="C48" s="18">
        <f>'X. Satser pensjonstilskudd'!C48</f>
        <v>0</v>
      </c>
      <c r="D48" s="18" t="str">
        <f>IFERROR(_xlfn.XLOOKUP($C48,factPensjon[Virksomhetsnr.],factPensjon[Forpliktelser]),"")</f>
        <v/>
      </c>
      <c r="E48" s="19">
        <f>SUMIFS(BasilRadata[Heltidsplasser
0-2],BasilRadata[År],'0. Oppsett'!$C$8,BasilRadata[1B. Organisasjonsnummer:],$C48)</f>
        <v>0</v>
      </c>
      <c r="F48" s="25">
        <f>'4. Selvkost og satser'!$B$54</f>
        <v>288170.9461329499</v>
      </c>
      <c r="G48" s="19">
        <f>SUMIFS(BasilRadata[Heltidsplasser
3-6],BasilRadata[År],'0. Oppsett'!$C$8,BasilRadata[1B. Organisasjonsnummer:],$C48)</f>
        <v>0</v>
      </c>
      <c r="H48" s="25">
        <f>'4. Selvkost og satser'!$B$55</f>
        <v>156604.23359926464</v>
      </c>
      <c r="I48" s="26">
        <f t="shared" si="3"/>
        <v>0</v>
      </c>
      <c r="J48" s="20">
        <f>SUMIFS(BasilRadata[8E. Oppgi antall årsverk barnehagen har pensjonsforpliktelser for:],'1. BASIL-rådata'!$I$3:$I$500,'X. Satser pensjonstilskudd'!$C48,BasilRadata[År],'0. Oppsett'!$C$8)</f>
        <v>0</v>
      </c>
      <c r="K48" s="30">
        <f>IFERROR(IF(OR(#REF!="",#REF!=""),0,J48*#REF!*#REF!*(1+'0. Oppsett'!$C$11)),0)</f>
        <v>0</v>
      </c>
      <c r="L48" s="95">
        <f t="shared" si="0"/>
        <v>0</v>
      </c>
      <c r="M48" s="31">
        <f t="shared" si="1"/>
        <v>0</v>
      </c>
      <c r="N48" s="32">
        <f>IFERROR(M48*'0. Oppsett'!$C$30,0)</f>
        <v>0</v>
      </c>
      <c r="O48" s="33">
        <v>0</v>
      </c>
      <c r="P48" s="142"/>
      <c r="Q48" s="142"/>
      <c r="R48" s="142"/>
      <c r="S48" s="142">
        <v>0</v>
      </c>
      <c r="T48" s="33">
        <v>0</v>
      </c>
      <c r="U48" s="34">
        <v>0</v>
      </c>
      <c r="V48" s="35">
        <f t="shared" si="4"/>
        <v>0</v>
      </c>
    </row>
    <row r="49" spans="1:22" ht="15.75" thickBot="1" x14ac:dyDescent="0.3">
      <c r="A49" s="17">
        <v>45</v>
      </c>
      <c r="B49" s="150">
        <f>'X. Satser pensjonstilskudd'!B49</f>
        <v>0</v>
      </c>
      <c r="C49" s="18">
        <f>'X. Satser pensjonstilskudd'!C49</f>
        <v>0</v>
      </c>
      <c r="D49" s="18" t="str">
        <f>IFERROR(_xlfn.XLOOKUP($C49,factPensjon[Virksomhetsnr.],factPensjon[Forpliktelser]),"")</f>
        <v/>
      </c>
      <c r="E49" s="19">
        <f>SUMIFS(BasilRadata[Heltidsplasser
0-2],BasilRadata[År],'0. Oppsett'!$C$8,BasilRadata[1B. Organisasjonsnummer:],$C49)</f>
        <v>0</v>
      </c>
      <c r="F49" s="25">
        <f>'4. Selvkost og satser'!$B$54</f>
        <v>288170.9461329499</v>
      </c>
      <c r="G49" s="19">
        <f>SUMIFS(BasilRadata[Heltidsplasser
3-6],BasilRadata[År],'0. Oppsett'!$C$8,BasilRadata[1B. Organisasjonsnummer:],$C49)</f>
        <v>0</v>
      </c>
      <c r="H49" s="25">
        <f>'4. Selvkost og satser'!$B$55</f>
        <v>156604.23359926464</v>
      </c>
      <c r="I49" s="26">
        <f t="shared" si="3"/>
        <v>0</v>
      </c>
      <c r="J49" s="20">
        <f>SUMIFS(BasilRadata[8E. Oppgi antall årsverk barnehagen har pensjonsforpliktelser for:],'1. BASIL-rådata'!$I$3:$I$500,'X. Satser pensjonstilskudd'!$C49,BasilRadata[År],'0. Oppsett'!$C$8)</f>
        <v>0</v>
      </c>
      <c r="K49" s="30">
        <f>IFERROR(IF(OR(#REF!="",#REF!=""),0,J49*#REF!*#REF!*(1+'0. Oppsett'!$C$11)),0)</f>
        <v>0</v>
      </c>
      <c r="L49" s="95">
        <f t="shared" si="0"/>
        <v>0</v>
      </c>
      <c r="M49" s="31">
        <f t="shared" si="1"/>
        <v>0</v>
      </c>
      <c r="N49" s="32">
        <f>IFERROR(M49*'0. Oppsett'!$C$30,0)</f>
        <v>0</v>
      </c>
      <c r="O49" s="33">
        <v>0</v>
      </c>
      <c r="P49" s="142"/>
      <c r="Q49" s="142"/>
      <c r="R49" s="142"/>
      <c r="S49" s="142">
        <v>0</v>
      </c>
      <c r="T49" s="33">
        <v>0</v>
      </c>
      <c r="U49" s="34">
        <v>0</v>
      </c>
      <c r="V49" s="35">
        <f t="shared" si="4"/>
        <v>0</v>
      </c>
    </row>
    <row r="50" spans="1:22" ht="15.75" thickBot="1" x14ac:dyDescent="0.3">
      <c r="A50" s="21">
        <v>46</v>
      </c>
      <c r="B50" s="150">
        <f>'X. Satser pensjonstilskudd'!B50</f>
        <v>0</v>
      </c>
      <c r="C50" s="18">
        <f>'X. Satser pensjonstilskudd'!C50</f>
        <v>0</v>
      </c>
      <c r="D50" s="18" t="str">
        <f>IFERROR(_xlfn.XLOOKUP($C50,factPensjon[Virksomhetsnr.],factPensjon[Forpliktelser]),"")</f>
        <v/>
      </c>
      <c r="E50" s="19">
        <f>SUMIFS(BasilRadata[Heltidsplasser
0-2],BasilRadata[År],'0. Oppsett'!$C$8,BasilRadata[1B. Organisasjonsnummer:],$C50)</f>
        <v>0</v>
      </c>
      <c r="F50" s="25">
        <f>'4. Selvkost og satser'!$B$54</f>
        <v>288170.9461329499</v>
      </c>
      <c r="G50" s="19">
        <f>SUMIFS(BasilRadata[Heltidsplasser
3-6],BasilRadata[År],'0. Oppsett'!$C$8,BasilRadata[1B. Organisasjonsnummer:],$C50)</f>
        <v>0</v>
      </c>
      <c r="H50" s="25">
        <f>'4. Selvkost og satser'!$B$55</f>
        <v>156604.23359926464</v>
      </c>
      <c r="I50" s="26">
        <f t="shared" si="3"/>
        <v>0</v>
      </c>
      <c r="J50" s="20">
        <f>SUMIFS(BasilRadata[8E. Oppgi antall årsverk barnehagen har pensjonsforpliktelser for:],'1. BASIL-rådata'!$I$3:$I$500,'X. Satser pensjonstilskudd'!$C50,BasilRadata[År],'0. Oppsett'!$C$8)</f>
        <v>0</v>
      </c>
      <c r="K50" s="30">
        <f>IFERROR(IF(OR(#REF!="",#REF!=""),0,J50*#REF!*#REF!*(1+'0. Oppsett'!$C$11)),0)</f>
        <v>0</v>
      </c>
      <c r="L50" s="95">
        <f t="shared" si="0"/>
        <v>0</v>
      </c>
      <c r="M50" s="31">
        <f t="shared" si="1"/>
        <v>0</v>
      </c>
      <c r="N50" s="32">
        <f>IFERROR(M50*'0. Oppsett'!$C$30,0)</f>
        <v>0</v>
      </c>
      <c r="O50" s="33">
        <v>0</v>
      </c>
      <c r="P50" s="142"/>
      <c r="Q50" s="142"/>
      <c r="R50" s="142"/>
      <c r="S50" s="142">
        <v>0</v>
      </c>
      <c r="T50" s="33">
        <v>0</v>
      </c>
      <c r="U50" s="34">
        <v>0</v>
      </c>
      <c r="V50" s="35">
        <f t="shared" si="4"/>
        <v>0</v>
      </c>
    </row>
    <row r="51" spans="1:22" ht="15.75" thickBot="1" x14ac:dyDescent="0.3">
      <c r="A51" s="17">
        <v>47</v>
      </c>
      <c r="B51" s="150">
        <f>'X. Satser pensjonstilskudd'!B51</f>
        <v>0</v>
      </c>
      <c r="C51" s="18">
        <f>'X. Satser pensjonstilskudd'!C51</f>
        <v>0</v>
      </c>
      <c r="D51" s="18" t="str">
        <f>IFERROR(_xlfn.XLOOKUP($C51,factPensjon[Virksomhetsnr.],factPensjon[Forpliktelser]),"")</f>
        <v/>
      </c>
      <c r="E51" s="19">
        <f>SUMIFS(BasilRadata[Heltidsplasser
0-2],BasilRadata[År],'0. Oppsett'!$C$8,BasilRadata[1B. Organisasjonsnummer:],$C51)</f>
        <v>0</v>
      </c>
      <c r="F51" s="25">
        <f>'4. Selvkost og satser'!$B$54</f>
        <v>288170.9461329499</v>
      </c>
      <c r="G51" s="19">
        <f>SUMIFS(BasilRadata[Heltidsplasser
3-6],BasilRadata[År],'0. Oppsett'!$C$8,BasilRadata[1B. Organisasjonsnummer:],$C51)</f>
        <v>0</v>
      </c>
      <c r="H51" s="25">
        <f>'4. Selvkost og satser'!$B$55</f>
        <v>156604.23359926464</v>
      </c>
      <c r="I51" s="26">
        <f t="shared" si="3"/>
        <v>0</v>
      </c>
      <c r="J51" s="20">
        <f>SUMIFS(BasilRadata[8E. Oppgi antall årsverk barnehagen har pensjonsforpliktelser for:],'1. BASIL-rådata'!$I$3:$I$500,'X. Satser pensjonstilskudd'!$C51,BasilRadata[År],'0. Oppsett'!$C$8)</f>
        <v>0</v>
      </c>
      <c r="K51" s="30">
        <f>IFERROR(IF(OR(#REF!="",#REF!=""),0,J51*#REF!*#REF!*(1+'0. Oppsett'!$C$11)),0)</f>
        <v>0</v>
      </c>
      <c r="L51" s="95">
        <f t="shared" si="0"/>
        <v>0</v>
      </c>
      <c r="M51" s="31">
        <f t="shared" si="1"/>
        <v>0</v>
      </c>
      <c r="N51" s="32">
        <f>IFERROR(M51*'0. Oppsett'!$C$30,0)</f>
        <v>0</v>
      </c>
      <c r="O51" s="33">
        <v>0</v>
      </c>
      <c r="P51" s="142"/>
      <c r="Q51" s="142"/>
      <c r="R51" s="142"/>
      <c r="S51" s="142">
        <v>0</v>
      </c>
      <c r="T51" s="33">
        <v>0</v>
      </c>
      <c r="U51" s="34">
        <v>0</v>
      </c>
      <c r="V51" s="35">
        <f t="shared" si="4"/>
        <v>0</v>
      </c>
    </row>
    <row r="52" spans="1:22" ht="15.75" thickBot="1" x14ac:dyDescent="0.3">
      <c r="A52" s="21">
        <v>48</v>
      </c>
      <c r="B52" s="150">
        <f>'X. Satser pensjonstilskudd'!B52</f>
        <v>0</v>
      </c>
      <c r="C52" s="18">
        <f>'X. Satser pensjonstilskudd'!C52</f>
        <v>0</v>
      </c>
      <c r="D52" s="18" t="str">
        <f>IFERROR(_xlfn.XLOOKUP($C52,factPensjon[Virksomhetsnr.],factPensjon[Forpliktelser]),"")</f>
        <v/>
      </c>
      <c r="E52" s="19">
        <f>SUMIFS(BasilRadata[Heltidsplasser
0-2],BasilRadata[År],'0. Oppsett'!$C$8,BasilRadata[1B. Organisasjonsnummer:],$C52)</f>
        <v>0</v>
      </c>
      <c r="F52" s="25">
        <f>'4. Selvkost og satser'!$B$54</f>
        <v>288170.9461329499</v>
      </c>
      <c r="G52" s="19">
        <f>SUMIFS(BasilRadata[Heltidsplasser
3-6],BasilRadata[År],'0. Oppsett'!$C$8,BasilRadata[1B. Organisasjonsnummer:],$C52)</f>
        <v>0</v>
      </c>
      <c r="H52" s="25">
        <f>'4. Selvkost og satser'!$B$55</f>
        <v>156604.23359926464</v>
      </c>
      <c r="I52" s="26">
        <f t="shared" si="3"/>
        <v>0</v>
      </c>
      <c r="J52" s="20">
        <f>SUMIFS(BasilRadata[8E. Oppgi antall årsverk barnehagen har pensjonsforpliktelser for:],'1. BASIL-rådata'!$I$3:$I$500,'X. Satser pensjonstilskudd'!$C52,BasilRadata[År],'0. Oppsett'!$C$8)</f>
        <v>0</v>
      </c>
      <c r="K52" s="30">
        <f>IFERROR(IF(OR(#REF!="",#REF!=""),0,J52*#REF!*#REF!*(1+'0. Oppsett'!$C$11)),0)</f>
        <v>0</v>
      </c>
      <c r="L52" s="95">
        <f t="shared" si="0"/>
        <v>0</v>
      </c>
      <c r="M52" s="31">
        <f t="shared" si="1"/>
        <v>0</v>
      </c>
      <c r="N52" s="32">
        <f>IFERROR(M52*'0. Oppsett'!$C$30,0)</f>
        <v>0</v>
      </c>
      <c r="O52" s="33">
        <v>0</v>
      </c>
      <c r="P52" s="142"/>
      <c r="Q52" s="142"/>
      <c r="R52" s="142"/>
      <c r="S52" s="142">
        <v>0</v>
      </c>
      <c r="T52" s="33">
        <v>0</v>
      </c>
      <c r="U52" s="34">
        <v>0</v>
      </c>
      <c r="V52" s="35">
        <f t="shared" si="4"/>
        <v>0</v>
      </c>
    </row>
    <row r="53" spans="1:22" ht="15.75" thickBot="1" x14ac:dyDescent="0.3">
      <c r="A53" s="17">
        <v>49</v>
      </c>
      <c r="B53" s="150">
        <f>'X. Satser pensjonstilskudd'!B53</f>
        <v>0</v>
      </c>
      <c r="C53" s="18">
        <f>'X. Satser pensjonstilskudd'!C53</f>
        <v>0</v>
      </c>
      <c r="D53" s="18" t="str">
        <f>IFERROR(_xlfn.XLOOKUP($C53,factPensjon[Virksomhetsnr.],factPensjon[Forpliktelser]),"")</f>
        <v/>
      </c>
      <c r="E53" s="19">
        <f>SUMIFS(BasilRadata[Heltidsplasser
0-2],BasilRadata[År],'0. Oppsett'!$C$8,BasilRadata[1B. Organisasjonsnummer:],$C53)</f>
        <v>0</v>
      </c>
      <c r="F53" s="25">
        <f>'4. Selvkost og satser'!$B$54</f>
        <v>288170.9461329499</v>
      </c>
      <c r="G53" s="19">
        <f>SUMIFS(BasilRadata[Heltidsplasser
3-6],BasilRadata[År],'0. Oppsett'!$C$8,BasilRadata[1B. Organisasjonsnummer:],$C53)</f>
        <v>0</v>
      </c>
      <c r="H53" s="25">
        <f>'4. Selvkost og satser'!$B$55</f>
        <v>156604.23359926464</v>
      </c>
      <c r="I53" s="26">
        <f t="shared" si="3"/>
        <v>0</v>
      </c>
      <c r="J53" s="20">
        <f>SUMIFS(BasilRadata[8E. Oppgi antall årsverk barnehagen har pensjonsforpliktelser for:],'1. BASIL-rådata'!$I$3:$I$500,'X. Satser pensjonstilskudd'!$C53,BasilRadata[År],'0. Oppsett'!$C$8)</f>
        <v>0</v>
      </c>
      <c r="K53" s="30">
        <f>IFERROR(IF(OR(#REF!="",#REF!=""),0,J53*#REF!*#REF!*(1+'0. Oppsett'!$C$11)),0)</f>
        <v>0</v>
      </c>
      <c r="L53" s="95">
        <f t="shared" si="0"/>
        <v>0</v>
      </c>
      <c r="M53" s="31">
        <f t="shared" si="1"/>
        <v>0</v>
      </c>
      <c r="N53" s="32">
        <f>IFERROR(M53*'0. Oppsett'!$C$30,0)</f>
        <v>0</v>
      </c>
      <c r="O53" s="33">
        <v>0</v>
      </c>
      <c r="P53" s="142"/>
      <c r="Q53" s="142"/>
      <c r="R53" s="142"/>
      <c r="S53" s="142">
        <v>0</v>
      </c>
      <c r="T53" s="33">
        <v>0</v>
      </c>
      <c r="U53" s="34">
        <v>0</v>
      </c>
      <c r="V53" s="35">
        <f t="shared" si="4"/>
        <v>0</v>
      </c>
    </row>
    <row r="54" spans="1:22" ht="15.75" thickBot="1" x14ac:dyDescent="0.3">
      <c r="A54" s="21">
        <v>50</v>
      </c>
      <c r="B54" s="150">
        <f>'X. Satser pensjonstilskudd'!B54</f>
        <v>0</v>
      </c>
      <c r="C54" s="18">
        <f>'X. Satser pensjonstilskudd'!C54</f>
        <v>0</v>
      </c>
      <c r="D54" s="18" t="str">
        <f>IFERROR(_xlfn.XLOOKUP($C54,factPensjon[Virksomhetsnr.],factPensjon[Forpliktelser]),"")</f>
        <v/>
      </c>
      <c r="E54" s="19">
        <f>SUMIFS(BasilRadata[Heltidsplasser
0-2],BasilRadata[År],'0. Oppsett'!$C$8,BasilRadata[1B. Organisasjonsnummer:],$C54)</f>
        <v>0</v>
      </c>
      <c r="F54" s="25">
        <f>'4. Selvkost og satser'!$B$54</f>
        <v>288170.9461329499</v>
      </c>
      <c r="G54" s="19">
        <f>SUMIFS(BasilRadata[Heltidsplasser
3-6],BasilRadata[År],'0. Oppsett'!$C$8,BasilRadata[1B. Organisasjonsnummer:],$C54)</f>
        <v>0</v>
      </c>
      <c r="H54" s="25">
        <f>'4. Selvkost og satser'!$B$55</f>
        <v>156604.23359926464</v>
      </c>
      <c r="I54" s="26">
        <f t="shared" si="3"/>
        <v>0</v>
      </c>
      <c r="J54" s="20">
        <f>SUMIFS(BasilRadata[8E. Oppgi antall årsverk barnehagen har pensjonsforpliktelser for:],'1. BASIL-rådata'!$I$3:$I$500,'X. Satser pensjonstilskudd'!$C54,BasilRadata[År],'0. Oppsett'!$C$8)</f>
        <v>0</v>
      </c>
      <c r="K54" s="30">
        <f>IFERROR(IF(OR(#REF!="",#REF!=""),0,J54*#REF!*#REF!*(1+'0. Oppsett'!$C$11)),0)</f>
        <v>0</v>
      </c>
      <c r="L54" s="95">
        <f t="shared" si="0"/>
        <v>0</v>
      </c>
      <c r="M54" s="31">
        <f t="shared" si="1"/>
        <v>0</v>
      </c>
      <c r="N54" s="32">
        <f>IFERROR(M54*'0. Oppsett'!$C$30,0)</f>
        <v>0</v>
      </c>
      <c r="O54" s="33">
        <v>0</v>
      </c>
      <c r="P54" s="142"/>
      <c r="Q54" s="142"/>
      <c r="R54" s="142"/>
      <c r="S54" s="142">
        <v>0</v>
      </c>
      <c r="T54" s="33">
        <v>0</v>
      </c>
      <c r="U54" s="34">
        <v>0</v>
      </c>
      <c r="V54" s="35">
        <f t="shared" si="4"/>
        <v>0</v>
      </c>
    </row>
    <row r="55" spans="1:22" ht="15.75" thickBot="1" x14ac:dyDescent="0.3">
      <c r="A55" s="17">
        <v>51</v>
      </c>
      <c r="B55" s="150">
        <f>'X. Satser pensjonstilskudd'!B55</f>
        <v>0</v>
      </c>
      <c r="C55" s="18">
        <f>'X. Satser pensjonstilskudd'!C55</f>
        <v>0</v>
      </c>
      <c r="D55" s="18" t="str">
        <f>IFERROR(_xlfn.XLOOKUP($C55,factPensjon[Virksomhetsnr.],factPensjon[Forpliktelser]),"")</f>
        <v/>
      </c>
      <c r="E55" s="19">
        <f>SUMIFS(BasilRadata[Heltidsplasser
0-2],BasilRadata[År],'0. Oppsett'!$C$8,BasilRadata[1B. Organisasjonsnummer:],$C55)</f>
        <v>0</v>
      </c>
      <c r="F55" s="25">
        <f>'4. Selvkost og satser'!$B$54</f>
        <v>288170.9461329499</v>
      </c>
      <c r="G55" s="19">
        <f>SUMIFS(BasilRadata[Heltidsplasser
3-6],BasilRadata[År],'0. Oppsett'!$C$8,BasilRadata[1B. Organisasjonsnummer:],$C55)</f>
        <v>0</v>
      </c>
      <c r="H55" s="25">
        <f>'4. Selvkost og satser'!$B$55</f>
        <v>156604.23359926464</v>
      </c>
      <c r="I55" s="26">
        <f t="shared" si="3"/>
        <v>0</v>
      </c>
      <c r="J55" s="20">
        <f>SUMIFS(BasilRadata[8E. Oppgi antall årsverk barnehagen har pensjonsforpliktelser for:],'1. BASIL-rådata'!$I$3:$I$500,'X. Satser pensjonstilskudd'!$C55,BasilRadata[År],'0. Oppsett'!$C$8)</f>
        <v>0</v>
      </c>
      <c r="K55" s="30">
        <f>IFERROR(IF(OR(#REF!="",#REF!=""),0,J55*#REF!*#REF!*(1+'0. Oppsett'!$C$11)),0)</f>
        <v>0</v>
      </c>
      <c r="L55" s="95">
        <f t="shared" si="0"/>
        <v>0</v>
      </c>
      <c r="M55" s="31">
        <f t="shared" si="1"/>
        <v>0</v>
      </c>
      <c r="N55" s="32">
        <f>IFERROR(M55*'0. Oppsett'!$C$30,0)</f>
        <v>0</v>
      </c>
      <c r="O55" s="33">
        <v>0</v>
      </c>
      <c r="P55" s="142"/>
      <c r="Q55" s="142"/>
      <c r="R55" s="142"/>
      <c r="S55" s="142">
        <v>0</v>
      </c>
      <c r="T55" s="33">
        <v>0</v>
      </c>
      <c r="U55" s="34">
        <v>0</v>
      </c>
      <c r="V55" s="35">
        <f t="shared" si="4"/>
        <v>0</v>
      </c>
    </row>
    <row r="56" spans="1:22" ht="15.75" thickBot="1" x14ac:dyDescent="0.3">
      <c r="A56" s="21">
        <v>52</v>
      </c>
      <c r="B56" s="150">
        <f>'X. Satser pensjonstilskudd'!B56</f>
        <v>0</v>
      </c>
      <c r="C56" s="18">
        <f>'X. Satser pensjonstilskudd'!C56</f>
        <v>0</v>
      </c>
      <c r="D56" s="18" t="str">
        <f>IFERROR(_xlfn.XLOOKUP($C56,factPensjon[Virksomhetsnr.],factPensjon[Forpliktelser]),"")</f>
        <v/>
      </c>
      <c r="E56" s="19">
        <f>SUMIFS(BasilRadata[Heltidsplasser
0-2],BasilRadata[År],'0. Oppsett'!$C$8,BasilRadata[1B. Organisasjonsnummer:],$C56)</f>
        <v>0</v>
      </c>
      <c r="F56" s="25">
        <f>'4. Selvkost og satser'!$B$54</f>
        <v>288170.9461329499</v>
      </c>
      <c r="G56" s="19">
        <f>SUMIFS(BasilRadata[Heltidsplasser
3-6],BasilRadata[År],'0. Oppsett'!$C$8,BasilRadata[1B. Organisasjonsnummer:],$C56)</f>
        <v>0</v>
      </c>
      <c r="H56" s="25">
        <f>'4. Selvkost og satser'!$B$55</f>
        <v>156604.23359926464</v>
      </c>
      <c r="I56" s="26">
        <f t="shared" si="3"/>
        <v>0</v>
      </c>
      <c r="J56" s="20">
        <f>SUMIFS(BasilRadata[8E. Oppgi antall årsverk barnehagen har pensjonsforpliktelser for:],'1. BASIL-rådata'!$I$3:$I$500,'X. Satser pensjonstilskudd'!$C56,BasilRadata[År],'0. Oppsett'!$C$8)</f>
        <v>0</v>
      </c>
      <c r="K56" s="30">
        <f>IFERROR(IF(OR(#REF!="",#REF!=""),0,J56*#REF!*#REF!*(1+'0. Oppsett'!$C$11)),0)</f>
        <v>0</v>
      </c>
      <c r="L56" s="95">
        <f t="shared" si="0"/>
        <v>0</v>
      </c>
      <c r="M56" s="31">
        <f t="shared" si="1"/>
        <v>0</v>
      </c>
      <c r="N56" s="32">
        <f>IFERROR(M56*'0. Oppsett'!$C$30,0)</f>
        <v>0</v>
      </c>
      <c r="O56" s="33">
        <v>0</v>
      </c>
      <c r="P56" s="142"/>
      <c r="Q56" s="142"/>
      <c r="R56" s="142"/>
      <c r="S56" s="142">
        <v>0</v>
      </c>
      <c r="T56" s="33">
        <v>0</v>
      </c>
      <c r="U56" s="34">
        <v>0</v>
      </c>
      <c r="V56" s="35">
        <f t="shared" si="4"/>
        <v>0</v>
      </c>
    </row>
    <row r="57" spans="1:22" ht="15.75" thickBot="1" x14ac:dyDescent="0.3">
      <c r="A57" s="17">
        <v>53</v>
      </c>
      <c r="B57" s="150">
        <f>'X. Satser pensjonstilskudd'!B57</f>
        <v>0</v>
      </c>
      <c r="C57" s="18">
        <f>'X. Satser pensjonstilskudd'!C57</f>
        <v>0</v>
      </c>
      <c r="D57" s="18" t="str">
        <f>IFERROR(_xlfn.XLOOKUP($C57,factPensjon[Virksomhetsnr.],factPensjon[Forpliktelser]),"")</f>
        <v/>
      </c>
      <c r="E57" s="19">
        <f>SUMIFS(BasilRadata[Heltidsplasser
0-2],BasilRadata[År],'0. Oppsett'!$C$8,BasilRadata[1B. Organisasjonsnummer:],$C57)</f>
        <v>0</v>
      </c>
      <c r="F57" s="25">
        <f>'4. Selvkost og satser'!$B$54</f>
        <v>288170.9461329499</v>
      </c>
      <c r="G57" s="19">
        <f>SUMIFS(BasilRadata[Heltidsplasser
3-6],BasilRadata[År],'0. Oppsett'!$C$8,BasilRadata[1B. Organisasjonsnummer:],$C57)</f>
        <v>0</v>
      </c>
      <c r="H57" s="25">
        <f>'4. Selvkost og satser'!$B$55</f>
        <v>156604.23359926464</v>
      </c>
      <c r="I57" s="26">
        <f t="shared" si="3"/>
        <v>0</v>
      </c>
      <c r="J57" s="20">
        <f>SUMIFS(BasilRadata[8E. Oppgi antall årsverk barnehagen har pensjonsforpliktelser for:],'1. BASIL-rådata'!$I$3:$I$500,'X. Satser pensjonstilskudd'!$C57,BasilRadata[År],'0. Oppsett'!$C$8)</f>
        <v>0</v>
      </c>
      <c r="K57" s="30">
        <f>IFERROR(IF(OR(#REF!="",#REF!=""),0,J57*#REF!*#REF!*(1+'0. Oppsett'!$C$11)),0)</f>
        <v>0</v>
      </c>
      <c r="L57" s="95">
        <f t="shared" si="0"/>
        <v>0</v>
      </c>
      <c r="M57" s="31">
        <f t="shared" si="1"/>
        <v>0</v>
      </c>
      <c r="N57" s="32">
        <f>IFERROR(M57*'0. Oppsett'!$C$30,0)</f>
        <v>0</v>
      </c>
      <c r="O57" s="33">
        <v>0</v>
      </c>
      <c r="P57" s="142"/>
      <c r="Q57" s="142"/>
      <c r="R57" s="142"/>
      <c r="S57" s="142">
        <v>0</v>
      </c>
      <c r="T57" s="33">
        <v>0</v>
      </c>
      <c r="U57" s="34">
        <v>0</v>
      </c>
      <c r="V57" s="35">
        <f t="shared" si="4"/>
        <v>0</v>
      </c>
    </row>
    <row r="58" spans="1:22" ht="15.75" thickBot="1" x14ac:dyDescent="0.3">
      <c r="A58" s="21">
        <v>54</v>
      </c>
      <c r="B58" s="150">
        <f>'X. Satser pensjonstilskudd'!B58</f>
        <v>0</v>
      </c>
      <c r="C58" s="18">
        <f>'X. Satser pensjonstilskudd'!C58</f>
        <v>0</v>
      </c>
      <c r="D58" s="18" t="str">
        <f>IFERROR(_xlfn.XLOOKUP($C58,factPensjon[Virksomhetsnr.],factPensjon[Forpliktelser]),"")</f>
        <v/>
      </c>
      <c r="E58" s="19">
        <f>SUMIFS(BasilRadata[Heltidsplasser
0-2],BasilRadata[År],'0. Oppsett'!$C$8,BasilRadata[1B. Organisasjonsnummer:],$C58)</f>
        <v>0</v>
      </c>
      <c r="F58" s="25">
        <f>'4. Selvkost og satser'!$B$54</f>
        <v>288170.9461329499</v>
      </c>
      <c r="G58" s="19">
        <f>SUMIFS(BasilRadata[Heltidsplasser
3-6],BasilRadata[År],'0. Oppsett'!$C$8,BasilRadata[1B. Organisasjonsnummer:],$C58)</f>
        <v>0</v>
      </c>
      <c r="H58" s="25">
        <f>'4. Selvkost og satser'!$B$55</f>
        <v>156604.23359926464</v>
      </c>
      <c r="I58" s="26">
        <f t="shared" si="3"/>
        <v>0</v>
      </c>
      <c r="J58" s="20">
        <f>SUMIFS(BasilRadata[8E. Oppgi antall årsverk barnehagen har pensjonsforpliktelser for:],'1. BASIL-rådata'!$I$3:$I$500,'X. Satser pensjonstilskudd'!$C58,BasilRadata[År],'0. Oppsett'!$C$8)</f>
        <v>0</v>
      </c>
      <c r="K58" s="30">
        <f>IFERROR(IF(OR(#REF!="",#REF!=""),0,J58*#REF!*#REF!*(1+'0. Oppsett'!$C$11)),0)</f>
        <v>0</v>
      </c>
      <c r="L58" s="95">
        <f t="shared" si="0"/>
        <v>0</v>
      </c>
      <c r="M58" s="31">
        <f t="shared" si="1"/>
        <v>0</v>
      </c>
      <c r="N58" s="32">
        <f>IFERROR(M58*'0. Oppsett'!$C$30,0)</f>
        <v>0</v>
      </c>
      <c r="O58" s="33">
        <v>0</v>
      </c>
      <c r="P58" s="142"/>
      <c r="Q58" s="142"/>
      <c r="R58" s="142"/>
      <c r="S58" s="142">
        <v>0</v>
      </c>
      <c r="T58" s="33">
        <v>0</v>
      </c>
      <c r="U58" s="34">
        <v>0</v>
      </c>
      <c r="V58" s="35">
        <f t="shared" si="4"/>
        <v>0</v>
      </c>
    </row>
    <row r="59" spans="1:22" ht="15.75" thickBot="1" x14ac:dyDescent="0.3">
      <c r="A59" s="17">
        <v>55</v>
      </c>
      <c r="B59" s="150">
        <f>'X. Satser pensjonstilskudd'!B59</f>
        <v>0</v>
      </c>
      <c r="C59" s="18">
        <f>'X. Satser pensjonstilskudd'!C59</f>
        <v>0</v>
      </c>
      <c r="D59" s="18" t="str">
        <f>IFERROR(_xlfn.XLOOKUP($C59,factPensjon[Virksomhetsnr.],factPensjon[Forpliktelser]),"")</f>
        <v/>
      </c>
      <c r="E59" s="19">
        <f>SUMIFS(BasilRadata[Heltidsplasser
0-2],BasilRadata[År],'0. Oppsett'!$C$8,BasilRadata[1B. Organisasjonsnummer:],$C59)</f>
        <v>0</v>
      </c>
      <c r="F59" s="25">
        <f>'4. Selvkost og satser'!$B$54</f>
        <v>288170.9461329499</v>
      </c>
      <c r="G59" s="19">
        <f>SUMIFS(BasilRadata[Heltidsplasser
3-6],BasilRadata[År],'0. Oppsett'!$C$8,BasilRadata[1B. Organisasjonsnummer:],$C59)</f>
        <v>0</v>
      </c>
      <c r="H59" s="25">
        <f>'4. Selvkost og satser'!$B$55</f>
        <v>156604.23359926464</v>
      </c>
      <c r="I59" s="26">
        <f t="shared" si="3"/>
        <v>0</v>
      </c>
      <c r="J59" s="20">
        <f>SUMIFS(BasilRadata[8E. Oppgi antall årsverk barnehagen har pensjonsforpliktelser for:],'1. BASIL-rådata'!$I$3:$I$500,'X. Satser pensjonstilskudd'!$C59,BasilRadata[År],'0. Oppsett'!$C$8)</f>
        <v>0</v>
      </c>
      <c r="K59" s="30">
        <f>IFERROR(IF(OR(#REF!="",#REF!=""),0,J59*#REF!*#REF!*(1+'0. Oppsett'!$C$11)),0)</f>
        <v>0</v>
      </c>
      <c r="L59" s="95">
        <f t="shared" si="0"/>
        <v>0</v>
      </c>
      <c r="M59" s="31">
        <f t="shared" si="1"/>
        <v>0</v>
      </c>
      <c r="N59" s="32">
        <f>IFERROR(M59*'0. Oppsett'!$C$30,0)</f>
        <v>0</v>
      </c>
      <c r="O59" s="33">
        <v>0</v>
      </c>
      <c r="P59" s="142"/>
      <c r="Q59" s="142"/>
      <c r="R59" s="142"/>
      <c r="S59" s="142">
        <v>0</v>
      </c>
      <c r="T59" s="33">
        <v>0</v>
      </c>
      <c r="U59" s="34">
        <v>0</v>
      </c>
      <c r="V59" s="35">
        <f t="shared" si="4"/>
        <v>0</v>
      </c>
    </row>
    <row r="60" spans="1:22" ht="15.75" thickBot="1" x14ac:dyDescent="0.3">
      <c r="A60" s="21">
        <v>56</v>
      </c>
      <c r="B60" s="150">
        <f>'X. Satser pensjonstilskudd'!B60</f>
        <v>0</v>
      </c>
      <c r="C60" s="18">
        <f>'X. Satser pensjonstilskudd'!C60</f>
        <v>0</v>
      </c>
      <c r="D60" s="18" t="str">
        <f>IFERROR(_xlfn.XLOOKUP($C60,factPensjon[Virksomhetsnr.],factPensjon[Forpliktelser]),"")</f>
        <v/>
      </c>
      <c r="E60" s="19">
        <f>SUMIFS(BasilRadata[Heltidsplasser
0-2],BasilRadata[År],'0. Oppsett'!$C$8,BasilRadata[1B. Organisasjonsnummer:],$C60)</f>
        <v>0</v>
      </c>
      <c r="F60" s="25">
        <f>'4. Selvkost og satser'!$B$54</f>
        <v>288170.9461329499</v>
      </c>
      <c r="G60" s="19">
        <f>SUMIFS(BasilRadata[Heltidsplasser
3-6],BasilRadata[År],'0. Oppsett'!$C$8,BasilRadata[1B. Organisasjonsnummer:],$C60)</f>
        <v>0</v>
      </c>
      <c r="H60" s="25">
        <f>'4. Selvkost og satser'!$B$55</f>
        <v>156604.23359926464</v>
      </c>
      <c r="I60" s="26">
        <f t="shared" si="3"/>
        <v>0</v>
      </c>
      <c r="J60" s="20">
        <f>SUMIFS(BasilRadata[8E. Oppgi antall årsverk barnehagen har pensjonsforpliktelser for:],'1. BASIL-rådata'!$I$3:$I$500,'X. Satser pensjonstilskudd'!$C60,BasilRadata[År],'0. Oppsett'!$C$8)</f>
        <v>0</v>
      </c>
      <c r="K60" s="30">
        <f>IFERROR(IF(OR(#REF!="",#REF!=""),0,J60*#REF!*#REF!*(1+'0. Oppsett'!$C$11)),0)</f>
        <v>0</v>
      </c>
      <c r="L60" s="95">
        <f t="shared" si="0"/>
        <v>0</v>
      </c>
      <c r="M60" s="31">
        <f t="shared" si="1"/>
        <v>0</v>
      </c>
      <c r="N60" s="32">
        <f>IFERROR(M60*'0. Oppsett'!$C$30,0)</f>
        <v>0</v>
      </c>
      <c r="O60" s="33">
        <v>0</v>
      </c>
      <c r="P60" s="142"/>
      <c r="Q60" s="142"/>
      <c r="R60" s="142"/>
      <c r="S60" s="142">
        <v>0</v>
      </c>
      <c r="T60" s="33">
        <v>0</v>
      </c>
      <c r="U60" s="34">
        <v>0</v>
      </c>
      <c r="V60" s="35">
        <f t="shared" si="4"/>
        <v>0</v>
      </c>
    </row>
    <row r="61" spans="1:22" ht="15.75" thickBot="1" x14ac:dyDescent="0.3">
      <c r="A61" s="17">
        <v>57</v>
      </c>
      <c r="B61" s="150">
        <f>'X. Satser pensjonstilskudd'!B61</f>
        <v>0</v>
      </c>
      <c r="C61" s="18">
        <f>'X. Satser pensjonstilskudd'!C61</f>
        <v>0</v>
      </c>
      <c r="D61" s="18" t="str">
        <f>IFERROR(_xlfn.XLOOKUP($C61,factPensjon[Virksomhetsnr.],factPensjon[Forpliktelser]),"")</f>
        <v/>
      </c>
      <c r="E61" s="19">
        <f>SUMIFS(BasilRadata[Heltidsplasser
0-2],BasilRadata[År],'0. Oppsett'!$C$8,BasilRadata[1B. Organisasjonsnummer:],$C61)</f>
        <v>0</v>
      </c>
      <c r="F61" s="25">
        <f>'4. Selvkost og satser'!$B$54</f>
        <v>288170.9461329499</v>
      </c>
      <c r="G61" s="19">
        <f>SUMIFS(BasilRadata[Heltidsplasser
3-6],BasilRadata[År],'0. Oppsett'!$C$8,BasilRadata[1B. Organisasjonsnummer:],$C61)</f>
        <v>0</v>
      </c>
      <c r="H61" s="25">
        <f>'4. Selvkost og satser'!$B$55</f>
        <v>156604.23359926464</v>
      </c>
      <c r="I61" s="26">
        <f t="shared" si="3"/>
        <v>0</v>
      </c>
      <c r="J61" s="20">
        <f>SUMIFS(BasilRadata[8E. Oppgi antall årsverk barnehagen har pensjonsforpliktelser for:],'1. BASIL-rådata'!$I$3:$I$500,'X. Satser pensjonstilskudd'!$C61,BasilRadata[År],'0. Oppsett'!$C$8)</f>
        <v>0</v>
      </c>
      <c r="K61" s="30">
        <f>IFERROR(IF(OR(#REF!="",#REF!=""),0,J61*#REF!*#REF!*(1+'0. Oppsett'!$C$11)),0)</f>
        <v>0</v>
      </c>
      <c r="L61" s="95">
        <f t="shared" si="0"/>
        <v>0</v>
      </c>
      <c r="M61" s="31">
        <f t="shared" si="1"/>
        <v>0</v>
      </c>
      <c r="N61" s="32">
        <f>IFERROR(M61*'0. Oppsett'!$C$30,0)</f>
        <v>0</v>
      </c>
      <c r="O61" s="33">
        <v>0</v>
      </c>
      <c r="P61" s="142"/>
      <c r="Q61" s="142"/>
      <c r="R61" s="142"/>
      <c r="S61" s="142">
        <v>0</v>
      </c>
      <c r="T61" s="33">
        <v>0</v>
      </c>
      <c r="U61" s="34">
        <v>0</v>
      </c>
      <c r="V61" s="35">
        <f t="shared" si="4"/>
        <v>0</v>
      </c>
    </row>
    <row r="62" spans="1:22" ht="15.75" thickBot="1" x14ac:dyDescent="0.3">
      <c r="A62" s="21">
        <v>58</v>
      </c>
      <c r="B62" s="150">
        <f>'X. Satser pensjonstilskudd'!B62</f>
        <v>0</v>
      </c>
      <c r="C62" s="18">
        <f>'X. Satser pensjonstilskudd'!C62</f>
        <v>0</v>
      </c>
      <c r="D62" s="18" t="str">
        <f>IFERROR(_xlfn.XLOOKUP($C62,factPensjon[Virksomhetsnr.],factPensjon[Forpliktelser]),"")</f>
        <v/>
      </c>
      <c r="E62" s="19">
        <f>SUMIFS(BasilRadata[Heltidsplasser
0-2],BasilRadata[År],'0. Oppsett'!$C$8,BasilRadata[1B. Organisasjonsnummer:],$C62)</f>
        <v>0</v>
      </c>
      <c r="F62" s="25">
        <f>'4. Selvkost og satser'!$B$54</f>
        <v>288170.9461329499</v>
      </c>
      <c r="G62" s="19">
        <f>SUMIFS(BasilRadata[Heltidsplasser
3-6],BasilRadata[År],'0. Oppsett'!$C$8,BasilRadata[1B. Organisasjonsnummer:],$C62)</f>
        <v>0</v>
      </c>
      <c r="H62" s="25">
        <f>'4. Selvkost og satser'!$B$55</f>
        <v>156604.23359926464</v>
      </c>
      <c r="I62" s="26">
        <f t="shared" si="3"/>
        <v>0</v>
      </c>
      <c r="J62" s="20">
        <f>SUMIFS(BasilRadata[8E. Oppgi antall årsverk barnehagen har pensjonsforpliktelser for:],'1. BASIL-rådata'!$I$3:$I$500,'X. Satser pensjonstilskudd'!$C62,BasilRadata[År],'0. Oppsett'!$C$8)</f>
        <v>0</v>
      </c>
      <c r="K62" s="30">
        <f>IFERROR(IF(OR(#REF!="",#REF!=""),0,J62*#REF!*#REF!*(1+'0. Oppsett'!$C$11)),0)</f>
        <v>0</v>
      </c>
      <c r="L62" s="95">
        <f t="shared" si="0"/>
        <v>0</v>
      </c>
      <c r="M62" s="31">
        <f t="shared" si="1"/>
        <v>0</v>
      </c>
      <c r="N62" s="32">
        <f>IFERROR(M62*'0. Oppsett'!$C$30,0)</f>
        <v>0</v>
      </c>
      <c r="O62" s="33">
        <v>0</v>
      </c>
      <c r="P62" s="142"/>
      <c r="Q62" s="142"/>
      <c r="R62" s="142"/>
      <c r="S62" s="142">
        <v>0</v>
      </c>
      <c r="T62" s="33">
        <v>0</v>
      </c>
      <c r="U62" s="34">
        <v>0</v>
      </c>
      <c r="V62" s="35">
        <f t="shared" si="4"/>
        <v>0</v>
      </c>
    </row>
    <row r="63" spans="1:22" ht="15.75" thickBot="1" x14ac:dyDescent="0.3">
      <c r="A63" s="17">
        <v>59</v>
      </c>
      <c r="B63" s="150">
        <f>'X. Satser pensjonstilskudd'!B63</f>
        <v>0</v>
      </c>
      <c r="C63" s="18">
        <f>'X. Satser pensjonstilskudd'!C63</f>
        <v>0</v>
      </c>
      <c r="D63" s="18" t="str">
        <f>IFERROR(_xlfn.XLOOKUP($C63,factPensjon[Virksomhetsnr.],factPensjon[Forpliktelser]),"")</f>
        <v/>
      </c>
      <c r="E63" s="19">
        <f>SUMIFS(BasilRadata[Heltidsplasser
0-2],BasilRadata[År],'0. Oppsett'!$C$8,BasilRadata[1B. Organisasjonsnummer:],$C63)</f>
        <v>0</v>
      </c>
      <c r="F63" s="25">
        <f>'4. Selvkost og satser'!$B$54</f>
        <v>288170.9461329499</v>
      </c>
      <c r="G63" s="19">
        <f>SUMIFS(BasilRadata[Heltidsplasser
3-6],BasilRadata[År],'0. Oppsett'!$C$8,BasilRadata[1B. Organisasjonsnummer:],$C63)</f>
        <v>0</v>
      </c>
      <c r="H63" s="25">
        <f>'4. Selvkost og satser'!$B$55</f>
        <v>156604.23359926464</v>
      </c>
      <c r="I63" s="26">
        <f t="shared" si="3"/>
        <v>0</v>
      </c>
      <c r="J63" s="20">
        <f>SUMIFS(BasilRadata[8E. Oppgi antall årsverk barnehagen har pensjonsforpliktelser for:],'1. BASIL-rådata'!$I$3:$I$500,'X. Satser pensjonstilskudd'!$C63,BasilRadata[År],'0. Oppsett'!$C$8)</f>
        <v>0</v>
      </c>
      <c r="K63" s="30">
        <f>IFERROR(IF(OR(#REF!="",#REF!=""),0,J63*#REF!*#REF!*(1+'0. Oppsett'!$C$11)),0)</f>
        <v>0</v>
      </c>
      <c r="L63" s="95">
        <f t="shared" si="0"/>
        <v>0</v>
      </c>
      <c r="M63" s="31">
        <f t="shared" si="1"/>
        <v>0</v>
      </c>
      <c r="N63" s="32">
        <f>IFERROR(M63*'0. Oppsett'!$C$30,0)</f>
        <v>0</v>
      </c>
      <c r="O63" s="33">
        <v>0</v>
      </c>
      <c r="P63" s="142"/>
      <c r="Q63" s="142"/>
      <c r="R63" s="142"/>
      <c r="S63" s="142">
        <v>0</v>
      </c>
      <c r="T63" s="33">
        <v>0</v>
      </c>
      <c r="U63" s="34">
        <v>0</v>
      </c>
      <c r="V63" s="35">
        <f t="shared" si="4"/>
        <v>0</v>
      </c>
    </row>
    <row r="64" spans="1:22" ht="15.75" thickBot="1" x14ac:dyDescent="0.3">
      <c r="A64" s="21">
        <v>60</v>
      </c>
      <c r="B64" s="150">
        <f>'X. Satser pensjonstilskudd'!B64</f>
        <v>0</v>
      </c>
      <c r="C64" s="18">
        <f>'X. Satser pensjonstilskudd'!C64</f>
        <v>0</v>
      </c>
      <c r="D64" s="18" t="str">
        <f>IFERROR(_xlfn.XLOOKUP($C64,factPensjon[Virksomhetsnr.],factPensjon[Forpliktelser]),"")</f>
        <v/>
      </c>
      <c r="E64" s="19">
        <f>SUMIFS(BasilRadata[Heltidsplasser
0-2],BasilRadata[År],'0. Oppsett'!$C$8,BasilRadata[1B. Organisasjonsnummer:],$C64)</f>
        <v>0</v>
      </c>
      <c r="F64" s="25">
        <f>'4. Selvkost og satser'!$B$54</f>
        <v>288170.9461329499</v>
      </c>
      <c r="G64" s="19">
        <f>SUMIFS(BasilRadata[Heltidsplasser
3-6],BasilRadata[År],'0. Oppsett'!$C$8,BasilRadata[1B. Organisasjonsnummer:],$C64)</f>
        <v>0</v>
      </c>
      <c r="H64" s="25">
        <f>'4. Selvkost og satser'!$B$55</f>
        <v>156604.23359926464</v>
      </c>
      <c r="I64" s="26">
        <f t="shared" si="3"/>
        <v>0</v>
      </c>
      <c r="J64" s="20">
        <f>SUMIFS(BasilRadata[8E. Oppgi antall årsverk barnehagen har pensjonsforpliktelser for:],'1. BASIL-rådata'!$I$3:$I$500,'X. Satser pensjonstilskudd'!$C64,BasilRadata[År],'0. Oppsett'!$C$8)</f>
        <v>0</v>
      </c>
      <c r="K64" s="30">
        <f>IFERROR(IF(OR(#REF!="",#REF!=""),0,J64*#REF!*#REF!*(1+'0. Oppsett'!$C$11)),0)</f>
        <v>0</v>
      </c>
      <c r="L64" s="95">
        <f t="shared" si="0"/>
        <v>0</v>
      </c>
      <c r="M64" s="31">
        <f t="shared" si="1"/>
        <v>0</v>
      </c>
      <c r="N64" s="32">
        <f>IFERROR(M64*'0. Oppsett'!$C$30,0)</f>
        <v>0</v>
      </c>
      <c r="O64" s="33">
        <v>0</v>
      </c>
      <c r="P64" s="142"/>
      <c r="Q64" s="142"/>
      <c r="R64" s="142"/>
      <c r="S64" s="142">
        <v>0</v>
      </c>
      <c r="T64" s="33">
        <v>0</v>
      </c>
      <c r="U64" s="34">
        <v>0</v>
      </c>
      <c r="V64" s="35">
        <f t="shared" si="4"/>
        <v>0</v>
      </c>
    </row>
    <row r="65" spans="1:22" ht="15.75" thickBot="1" x14ac:dyDescent="0.3">
      <c r="A65" s="17">
        <v>61</v>
      </c>
      <c r="B65" s="150">
        <f>'X. Satser pensjonstilskudd'!B65</f>
        <v>0</v>
      </c>
      <c r="C65" s="18">
        <f>'X. Satser pensjonstilskudd'!C65</f>
        <v>0</v>
      </c>
      <c r="D65" s="18" t="str">
        <f>IFERROR(_xlfn.XLOOKUP($C65,factPensjon[Virksomhetsnr.],factPensjon[Forpliktelser]),"")</f>
        <v/>
      </c>
      <c r="E65" s="19">
        <f>SUMIFS(BasilRadata[Heltidsplasser
0-2],BasilRadata[År],'0. Oppsett'!$C$8,BasilRadata[1B. Organisasjonsnummer:],$C65)</f>
        <v>0</v>
      </c>
      <c r="F65" s="25">
        <f>'4. Selvkost og satser'!$B$54</f>
        <v>288170.9461329499</v>
      </c>
      <c r="G65" s="19">
        <f>SUMIFS(BasilRadata[Heltidsplasser
3-6],BasilRadata[År],'0. Oppsett'!$C$8,BasilRadata[1B. Organisasjonsnummer:],$C65)</f>
        <v>0</v>
      </c>
      <c r="H65" s="25">
        <f>'4. Selvkost og satser'!$B$55</f>
        <v>156604.23359926464</v>
      </c>
      <c r="I65" s="26">
        <f t="shared" si="3"/>
        <v>0</v>
      </c>
      <c r="J65" s="20">
        <f>SUMIFS(BasilRadata[8E. Oppgi antall årsverk barnehagen har pensjonsforpliktelser for:],'1. BASIL-rådata'!$I$3:$I$500,'X. Satser pensjonstilskudd'!$C65,BasilRadata[År],'0. Oppsett'!$C$8)</f>
        <v>0</v>
      </c>
      <c r="K65" s="30">
        <f>IFERROR(IF(OR(#REF!="",#REF!=""),0,J65*#REF!*#REF!*(1+'0. Oppsett'!$C$11)),0)</f>
        <v>0</v>
      </c>
      <c r="L65" s="95">
        <f t="shared" si="0"/>
        <v>0</v>
      </c>
      <c r="M65" s="31">
        <f t="shared" si="1"/>
        <v>0</v>
      </c>
      <c r="N65" s="32">
        <f>IFERROR(M65*'0. Oppsett'!$C$30,0)</f>
        <v>0</v>
      </c>
      <c r="O65" s="33">
        <v>0</v>
      </c>
      <c r="P65" s="142"/>
      <c r="Q65" s="142"/>
      <c r="R65" s="142"/>
      <c r="S65" s="142">
        <v>0</v>
      </c>
      <c r="T65" s="33">
        <v>0</v>
      </c>
      <c r="U65" s="34">
        <v>0</v>
      </c>
      <c r="V65" s="35">
        <f t="shared" si="4"/>
        <v>0</v>
      </c>
    </row>
    <row r="66" spans="1:22" ht="15.75" thickBot="1" x14ac:dyDescent="0.3">
      <c r="A66" s="21">
        <v>62</v>
      </c>
      <c r="B66" s="150">
        <f>'X. Satser pensjonstilskudd'!B66</f>
        <v>0</v>
      </c>
      <c r="C66" s="18">
        <f>'X. Satser pensjonstilskudd'!C66</f>
        <v>0</v>
      </c>
      <c r="D66" s="18" t="str">
        <f>IFERROR(_xlfn.XLOOKUP($C66,factPensjon[Virksomhetsnr.],factPensjon[Forpliktelser]),"")</f>
        <v/>
      </c>
      <c r="E66" s="19">
        <f>SUMIFS(BasilRadata[Heltidsplasser
0-2],BasilRadata[År],'0. Oppsett'!$C$8,BasilRadata[1B. Organisasjonsnummer:],$C66)</f>
        <v>0</v>
      </c>
      <c r="F66" s="25">
        <f>'4. Selvkost og satser'!$B$54</f>
        <v>288170.9461329499</v>
      </c>
      <c r="G66" s="19">
        <f>SUMIFS(BasilRadata[Heltidsplasser
3-6],BasilRadata[År],'0. Oppsett'!$C$8,BasilRadata[1B. Organisasjonsnummer:],$C66)</f>
        <v>0</v>
      </c>
      <c r="H66" s="25">
        <f>'4. Selvkost og satser'!$B$55</f>
        <v>156604.23359926464</v>
      </c>
      <c r="I66" s="26">
        <f t="shared" si="3"/>
        <v>0</v>
      </c>
      <c r="J66" s="20">
        <f>SUMIFS(BasilRadata[8E. Oppgi antall årsverk barnehagen har pensjonsforpliktelser for:],'1. BASIL-rådata'!$I$3:$I$500,'X. Satser pensjonstilskudd'!$C66,BasilRadata[År],'0. Oppsett'!$C$8)</f>
        <v>0</v>
      </c>
      <c r="K66" s="30">
        <f>IFERROR(IF(OR(#REF!="",#REF!=""),0,J66*#REF!*#REF!*(1+'0. Oppsett'!$C$11)),0)</f>
        <v>0</v>
      </c>
      <c r="L66" s="95">
        <f t="shared" si="0"/>
        <v>0</v>
      </c>
      <c r="M66" s="31">
        <f t="shared" si="1"/>
        <v>0</v>
      </c>
      <c r="N66" s="32">
        <f>IFERROR(M66*'0. Oppsett'!$C$30,0)</f>
        <v>0</v>
      </c>
      <c r="O66" s="33">
        <v>0</v>
      </c>
      <c r="P66" s="142"/>
      <c r="Q66" s="142"/>
      <c r="R66" s="142"/>
      <c r="S66" s="142">
        <v>0</v>
      </c>
      <c r="T66" s="33">
        <v>0</v>
      </c>
      <c r="U66" s="34">
        <v>0</v>
      </c>
      <c r="V66" s="35">
        <f t="shared" si="4"/>
        <v>0</v>
      </c>
    </row>
    <row r="67" spans="1:22" ht="15.75" thickBot="1" x14ac:dyDescent="0.3">
      <c r="A67" s="17">
        <v>63</v>
      </c>
      <c r="B67" s="150">
        <f>'X. Satser pensjonstilskudd'!B67</f>
        <v>0</v>
      </c>
      <c r="C67" s="18">
        <f>'X. Satser pensjonstilskudd'!C67</f>
        <v>0</v>
      </c>
      <c r="D67" s="18" t="str">
        <f>IFERROR(_xlfn.XLOOKUP($C67,factPensjon[Virksomhetsnr.],factPensjon[Forpliktelser]),"")</f>
        <v/>
      </c>
      <c r="E67" s="19">
        <f>SUMIFS(BasilRadata[Heltidsplasser
0-2],BasilRadata[År],'0. Oppsett'!$C$8,BasilRadata[1B. Organisasjonsnummer:],$C67)</f>
        <v>0</v>
      </c>
      <c r="F67" s="25">
        <f>'4. Selvkost og satser'!$B$54</f>
        <v>288170.9461329499</v>
      </c>
      <c r="G67" s="19">
        <f>SUMIFS(BasilRadata[Heltidsplasser
3-6],BasilRadata[År],'0. Oppsett'!$C$8,BasilRadata[1B. Organisasjonsnummer:],$C67)</f>
        <v>0</v>
      </c>
      <c r="H67" s="25">
        <f>'4. Selvkost og satser'!$B$55</f>
        <v>156604.23359926464</v>
      </c>
      <c r="I67" s="26">
        <f t="shared" si="3"/>
        <v>0</v>
      </c>
      <c r="J67" s="20">
        <f>SUMIFS(BasilRadata[8E. Oppgi antall årsverk barnehagen har pensjonsforpliktelser for:],'1. BASIL-rådata'!$I$3:$I$500,'X. Satser pensjonstilskudd'!$C67,BasilRadata[År],'0. Oppsett'!$C$8)</f>
        <v>0</v>
      </c>
      <c r="K67" s="30">
        <f>IFERROR(IF(OR(#REF!="",#REF!=""),0,J67*#REF!*#REF!*(1+'0. Oppsett'!$C$11)),0)</f>
        <v>0</v>
      </c>
      <c r="L67" s="95">
        <f t="shared" si="0"/>
        <v>0</v>
      </c>
      <c r="M67" s="31">
        <f t="shared" si="1"/>
        <v>0</v>
      </c>
      <c r="N67" s="32">
        <f>IFERROR(M67*'0. Oppsett'!$C$30,0)</f>
        <v>0</v>
      </c>
      <c r="O67" s="33">
        <v>0</v>
      </c>
      <c r="P67" s="142"/>
      <c r="Q67" s="142"/>
      <c r="R67" s="142"/>
      <c r="S67" s="142">
        <v>0</v>
      </c>
      <c r="T67" s="33">
        <v>0</v>
      </c>
      <c r="U67" s="34">
        <v>0</v>
      </c>
      <c r="V67" s="35">
        <f t="shared" si="4"/>
        <v>0</v>
      </c>
    </row>
    <row r="68" spans="1:22" ht="15.75" thickBot="1" x14ac:dyDescent="0.3">
      <c r="A68" s="21">
        <v>64</v>
      </c>
      <c r="B68" s="150">
        <f>'X. Satser pensjonstilskudd'!B68</f>
        <v>0</v>
      </c>
      <c r="C68" s="18">
        <f>'X. Satser pensjonstilskudd'!C68</f>
        <v>0</v>
      </c>
      <c r="D68" s="18" t="str">
        <f>IFERROR(_xlfn.XLOOKUP($C68,factPensjon[Virksomhetsnr.],factPensjon[Forpliktelser]),"")</f>
        <v/>
      </c>
      <c r="E68" s="19">
        <f>SUMIFS(BasilRadata[Heltidsplasser
0-2],BasilRadata[År],'0. Oppsett'!$C$8,BasilRadata[1B. Organisasjonsnummer:],$C68)</f>
        <v>0</v>
      </c>
      <c r="F68" s="25">
        <f>'4. Selvkost og satser'!$B$54</f>
        <v>288170.9461329499</v>
      </c>
      <c r="G68" s="19">
        <f>SUMIFS(BasilRadata[Heltidsplasser
3-6],BasilRadata[År],'0. Oppsett'!$C$8,BasilRadata[1B. Organisasjonsnummer:],$C68)</f>
        <v>0</v>
      </c>
      <c r="H68" s="25">
        <f>'4. Selvkost og satser'!$B$55</f>
        <v>156604.23359926464</v>
      </c>
      <c r="I68" s="26">
        <f t="shared" si="3"/>
        <v>0</v>
      </c>
      <c r="J68" s="20">
        <f>SUMIFS(BasilRadata[8E. Oppgi antall årsverk barnehagen har pensjonsforpliktelser for:],'1. BASIL-rådata'!$I$3:$I$500,'X. Satser pensjonstilskudd'!$C68,BasilRadata[År],'0. Oppsett'!$C$8)</f>
        <v>0</v>
      </c>
      <c r="K68" s="30">
        <f>IFERROR(IF(OR(#REF!="",#REF!=""),0,J68*#REF!*#REF!*(1+'0. Oppsett'!$C$11)),0)</f>
        <v>0</v>
      </c>
      <c r="L68" s="95">
        <f t="shared" si="0"/>
        <v>0</v>
      </c>
      <c r="M68" s="31">
        <f t="shared" si="1"/>
        <v>0</v>
      </c>
      <c r="N68" s="32">
        <f>IFERROR(M68*'0. Oppsett'!$C$30,0)</f>
        <v>0</v>
      </c>
      <c r="O68" s="33">
        <v>0</v>
      </c>
      <c r="P68" s="142"/>
      <c r="Q68" s="142"/>
      <c r="R68" s="142"/>
      <c r="S68" s="142">
        <v>0</v>
      </c>
      <c r="T68" s="33">
        <v>0</v>
      </c>
      <c r="U68" s="34">
        <v>0</v>
      </c>
      <c r="V68" s="35">
        <f t="shared" si="4"/>
        <v>0</v>
      </c>
    </row>
    <row r="69" spans="1:22" ht="15.75" thickBot="1" x14ac:dyDescent="0.3">
      <c r="A69" s="17">
        <v>65</v>
      </c>
      <c r="B69" s="150">
        <f>'X. Satser pensjonstilskudd'!B69</f>
        <v>0</v>
      </c>
      <c r="C69" s="18">
        <f>'X. Satser pensjonstilskudd'!C69</f>
        <v>0</v>
      </c>
      <c r="D69" s="18" t="str">
        <f>IFERROR(_xlfn.XLOOKUP($C69,factPensjon[Virksomhetsnr.],factPensjon[Forpliktelser]),"")</f>
        <v/>
      </c>
      <c r="E69" s="19">
        <f>SUMIFS(BasilRadata[Heltidsplasser
0-2],BasilRadata[År],'0. Oppsett'!$C$8,BasilRadata[1B. Organisasjonsnummer:],$C69)</f>
        <v>0</v>
      </c>
      <c r="F69" s="25">
        <f>'4. Selvkost og satser'!$B$54</f>
        <v>288170.9461329499</v>
      </c>
      <c r="G69" s="19">
        <f>SUMIFS(BasilRadata[Heltidsplasser
3-6],BasilRadata[År],'0. Oppsett'!$C$8,BasilRadata[1B. Organisasjonsnummer:],$C69)</f>
        <v>0</v>
      </c>
      <c r="H69" s="25">
        <f>'4. Selvkost og satser'!$B$55</f>
        <v>156604.23359926464</v>
      </c>
      <c r="I69" s="26">
        <f t="shared" ref="I69:I132" si="5">IFERROR(IF(B69="",0,E69*F69+G69*H69),0)</f>
        <v>0</v>
      </c>
      <c r="J69" s="20">
        <f>SUMIFS(BasilRadata[8E. Oppgi antall årsverk barnehagen har pensjonsforpliktelser for:],'1. BASIL-rådata'!$I$3:$I$500,'X. Satser pensjonstilskudd'!$C69,BasilRadata[År],'0. Oppsett'!$C$8)</f>
        <v>0</v>
      </c>
      <c r="K69" s="30">
        <f>IFERROR(IF(OR(#REF!="",#REF!=""),0,J69*#REF!*#REF!*(1+'0. Oppsett'!$C$11)),0)</f>
        <v>0</v>
      </c>
      <c r="L69" s="95">
        <f t="shared" ref="L69:L132" si="6">K69*J69</f>
        <v>0</v>
      </c>
      <c r="M69" s="31">
        <f t="shared" ref="M69:M132" si="7">E69+G69</f>
        <v>0</v>
      </c>
      <c r="N69" s="32">
        <f>IFERROR(M69*'0. Oppsett'!$C$30,0)</f>
        <v>0</v>
      </c>
      <c r="O69" s="33">
        <v>0</v>
      </c>
      <c r="P69" s="142"/>
      <c r="Q69" s="142"/>
      <c r="R69" s="142"/>
      <c r="S69" s="142">
        <v>0</v>
      </c>
      <c r="T69" s="33">
        <v>0</v>
      </c>
      <c r="U69" s="34">
        <v>0</v>
      </c>
      <c r="V69" s="35">
        <f t="shared" si="4"/>
        <v>0</v>
      </c>
    </row>
    <row r="70" spans="1:22" ht="15.75" thickBot="1" x14ac:dyDescent="0.3">
      <c r="A70" s="21">
        <v>66</v>
      </c>
      <c r="B70" s="150">
        <f>'X. Satser pensjonstilskudd'!B70</f>
        <v>0</v>
      </c>
      <c r="C70" s="18">
        <f>'X. Satser pensjonstilskudd'!C70</f>
        <v>0</v>
      </c>
      <c r="D70" s="18" t="str">
        <f>IFERROR(_xlfn.XLOOKUP($C70,factPensjon[Virksomhetsnr.],factPensjon[Forpliktelser]),"")</f>
        <v/>
      </c>
      <c r="E70" s="19">
        <f>SUMIFS(BasilRadata[Heltidsplasser
0-2],BasilRadata[År],'0. Oppsett'!$C$8,BasilRadata[1B. Organisasjonsnummer:],$C70)</f>
        <v>0</v>
      </c>
      <c r="F70" s="25">
        <f>'4. Selvkost og satser'!$B$54</f>
        <v>288170.9461329499</v>
      </c>
      <c r="G70" s="19">
        <f>SUMIFS(BasilRadata[Heltidsplasser
3-6],BasilRadata[År],'0. Oppsett'!$C$8,BasilRadata[1B. Organisasjonsnummer:],$C70)</f>
        <v>0</v>
      </c>
      <c r="H70" s="25">
        <f>'4. Selvkost og satser'!$B$55</f>
        <v>156604.23359926464</v>
      </c>
      <c r="I70" s="26">
        <f t="shared" si="5"/>
        <v>0</v>
      </c>
      <c r="J70" s="20">
        <f>SUMIFS(BasilRadata[8E. Oppgi antall årsverk barnehagen har pensjonsforpliktelser for:],'1. BASIL-rådata'!$I$3:$I$500,'X. Satser pensjonstilskudd'!$C70,BasilRadata[År],'0. Oppsett'!$C$8)</f>
        <v>0</v>
      </c>
      <c r="K70" s="30">
        <f>IFERROR(IF(OR(#REF!="",#REF!=""),0,J70*#REF!*#REF!*(1+'0. Oppsett'!$C$11)),0)</f>
        <v>0</v>
      </c>
      <c r="L70" s="95">
        <f t="shared" si="6"/>
        <v>0</v>
      </c>
      <c r="M70" s="31">
        <f t="shared" si="7"/>
        <v>0</v>
      </c>
      <c r="N70" s="32">
        <f>IFERROR(M70*'0. Oppsett'!$C$30,0)</f>
        <v>0</v>
      </c>
      <c r="O70" s="33">
        <v>0</v>
      </c>
      <c r="P70" s="142"/>
      <c r="Q70" s="142"/>
      <c r="R70" s="142"/>
      <c r="S70" s="142">
        <v>0</v>
      </c>
      <c r="T70" s="33">
        <v>0</v>
      </c>
      <c r="U70" s="34">
        <v>0</v>
      </c>
      <c r="V70" s="35">
        <f t="shared" si="4"/>
        <v>0</v>
      </c>
    </row>
    <row r="71" spans="1:22" ht="15.75" thickBot="1" x14ac:dyDescent="0.3">
      <c r="A71" s="17">
        <v>67</v>
      </c>
      <c r="B71" s="150">
        <f>'X. Satser pensjonstilskudd'!B71</f>
        <v>0</v>
      </c>
      <c r="C71" s="18">
        <f>'X. Satser pensjonstilskudd'!C71</f>
        <v>0</v>
      </c>
      <c r="D71" s="18" t="str">
        <f>IFERROR(_xlfn.XLOOKUP($C71,factPensjon[Virksomhetsnr.],factPensjon[Forpliktelser]),"")</f>
        <v/>
      </c>
      <c r="E71" s="19">
        <f>SUMIFS(BasilRadata[Heltidsplasser
0-2],BasilRadata[År],'0. Oppsett'!$C$8,BasilRadata[1B. Organisasjonsnummer:],$C71)</f>
        <v>0</v>
      </c>
      <c r="F71" s="25">
        <f>'4. Selvkost og satser'!$B$54</f>
        <v>288170.9461329499</v>
      </c>
      <c r="G71" s="19">
        <f>SUMIFS(BasilRadata[Heltidsplasser
3-6],BasilRadata[År],'0. Oppsett'!$C$8,BasilRadata[1B. Organisasjonsnummer:],$C71)</f>
        <v>0</v>
      </c>
      <c r="H71" s="25">
        <f>'4. Selvkost og satser'!$B$55</f>
        <v>156604.23359926464</v>
      </c>
      <c r="I71" s="26">
        <f t="shared" si="5"/>
        <v>0</v>
      </c>
      <c r="J71" s="20">
        <f>SUMIFS(BasilRadata[8E. Oppgi antall årsverk barnehagen har pensjonsforpliktelser for:],'1. BASIL-rådata'!$I$3:$I$500,'X. Satser pensjonstilskudd'!$C71,BasilRadata[År],'0. Oppsett'!$C$8)</f>
        <v>0</v>
      </c>
      <c r="K71" s="30">
        <f>IFERROR(IF(OR(#REF!="",#REF!=""),0,J71*#REF!*#REF!*(1+'0. Oppsett'!$C$11)),0)</f>
        <v>0</v>
      </c>
      <c r="L71" s="95">
        <f t="shared" si="6"/>
        <v>0</v>
      </c>
      <c r="M71" s="31">
        <f t="shared" si="7"/>
        <v>0</v>
      </c>
      <c r="N71" s="32">
        <f>IFERROR(M71*'0. Oppsett'!$C$30,0)</f>
        <v>0</v>
      </c>
      <c r="O71" s="33">
        <v>0</v>
      </c>
      <c r="P71" s="142"/>
      <c r="Q71" s="142"/>
      <c r="R71" s="142"/>
      <c r="S71" s="142">
        <v>0</v>
      </c>
      <c r="T71" s="33">
        <v>0</v>
      </c>
      <c r="U71" s="34">
        <v>0</v>
      </c>
      <c r="V71" s="35">
        <f t="shared" si="4"/>
        <v>0</v>
      </c>
    </row>
    <row r="72" spans="1:22" ht="15.75" thickBot="1" x14ac:dyDescent="0.3">
      <c r="A72" s="21">
        <v>68</v>
      </c>
      <c r="B72" s="150">
        <f>'X. Satser pensjonstilskudd'!B72</f>
        <v>0</v>
      </c>
      <c r="C72" s="18">
        <f>'X. Satser pensjonstilskudd'!C72</f>
        <v>0</v>
      </c>
      <c r="D72" s="18" t="str">
        <f>IFERROR(_xlfn.XLOOKUP($C72,factPensjon[Virksomhetsnr.],factPensjon[Forpliktelser]),"")</f>
        <v/>
      </c>
      <c r="E72" s="19">
        <f>SUMIFS(BasilRadata[Heltidsplasser
0-2],BasilRadata[År],'0. Oppsett'!$C$8,BasilRadata[1B. Organisasjonsnummer:],$C72)</f>
        <v>0</v>
      </c>
      <c r="F72" s="25">
        <f>'4. Selvkost og satser'!$B$54</f>
        <v>288170.9461329499</v>
      </c>
      <c r="G72" s="19">
        <f>SUMIFS(BasilRadata[Heltidsplasser
3-6],BasilRadata[År],'0. Oppsett'!$C$8,BasilRadata[1B. Organisasjonsnummer:],$C72)</f>
        <v>0</v>
      </c>
      <c r="H72" s="25">
        <f>'4. Selvkost og satser'!$B$55</f>
        <v>156604.23359926464</v>
      </c>
      <c r="I72" s="26">
        <f t="shared" si="5"/>
        <v>0</v>
      </c>
      <c r="J72" s="20">
        <f>SUMIFS(BasilRadata[8E. Oppgi antall årsverk barnehagen har pensjonsforpliktelser for:],'1. BASIL-rådata'!$I$3:$I$500,'X. Satser pensjonstilskudd'!$C72,BasilRadata[År],'0. Oppsett'!$C$8)</f>
        <v>0</v>
      </c>
      <c r="K72" s="30">
        <f>IFERROR(IF(OR(#REF!="",#REF!=""),0,J72*#REF!*#REF!*(1+'0. Oppsett'!$C$11)),0)</f>
        <v>0</v>
      </c>
      <c r="L72" s="95">
        <f t="shared" si="6"/>
        <v>0</v>
      </c>
      <c r="M72" s="31">
        <f t="shared" si="7"/>
        <v>0</v>
      </c>
      <c r="N72" s="32">
        <f>IFERROR(M72*'0. Oppsett'!$C$30,0)</f>
        <v>0</v>
      </c>
      <c r="O72" s="33">
        <v>0</v>
      </c>
      <c r="P72" s="142"/>
      <c r="Q72" s="142"/>
      <c r="R72" s="142"/>
      <c r="S72" s="142">
        <v>0</v>
      </c>
      <c r="T72" s="33">
        <v>0</v>
      </c>
      <c r="U72" s="34">
        <v>0</v>
      </c>
      <c r="V72" s="35">
        <f t="shared" si="4"/>
        <v>0</v>
      </c>
    </row>
    <row r="73" spans="1:22" ht="15.75" thickBot="1" x14ac:dyDescent="0.3">
      <c r="A73" s="17">
        <v>69</v>
      </c>
      <c r="B73" s="150">
        <f>'X. Satser pensjonstilskudd'!B73</f>
        <v>0</v>
      </c>
      <c r="C73" s="18">
        <f>'X. Satser pensjonstilskudd'!C73</f>
        <v>0</v>
      </c>
      <c r="D73" s="18" t="str">
        <f>IFERROR(_xlfn.XLOOKUP($C73,factPensjon[Virksomhetsnr.],factPensjon[Forpliktelser]),"")</f>
        <v/>
      </c>
      <c r="E73" s="19">
        <f>SUMIFS(BasilRadata[Heltidsplasser
0-2],BasilRadata[År],'0. Oppsett'!$C$8,BasilRadata[1B. Organisasjonsnummer:],$C73)</f>
        <v>0</v>
      </c>
      <c r="F73" s="25">
        <f>'4. Selvkost og satser'!$B$54</f>
        <v>288170.9461329499</v>
      </c>
      <c r="G73" s="19">
        <f>SUMIFS(BasilRadata[Heltidsplasser
3-6],BasilRadata[År],'0. Oppsett'!$C$8,BasilRadata[1B. Organisasjonsnummer:],$C73)</f>
        <v>0</v>
      </c>
      <c r="H73" s="25">
        <f>'4. Selvkost og satser'!$B$55</f>
        <v>156604.23359926464</v>
      </c>
      <c r="I73" s="26">
        <f t="shared" si="5"/>
        <v>0</v>
      </c>
      <c r="J73" s="20">
        <f>SUMIFS(BasilRadata[8E. Oppgi antall årsverk barnehagen har pensjonsforpliktelser for:],'1. BASIL-rådata'!$I$3:$I$500,'X. Satser pensjonstilskudd'!$C73,BasilRadata[År],'0. Oppsett'!$C$8)</f>
        <v>0</v>
      </c>
      <c r="K73" s="30">
        <f>IFERROR(IF(OR(#REF!="",#REF!=""),0,J73*#REF!*#REF!*(1+'0. Oppsett'!$C$11)),0)</f>
        <v>0</v>
      </c>
      <c r="L73" s="95">
        <f t="shared" si="6"/>
        <v>0</v>
      </c>
      <c r="M73" s="31">
        <f t="shared" si="7"/>
        <v>0</v>
      </c>
      <c r="N73" s="32">
        <f>IFERROR(M73*'0. Oppsett'!$C$30,0)</f>
        <v>0</v>
      </c>
      <c r="O73" s="33">
        <v>0</v>
      </c>
      <c r="P73" s="142"/>
      <c r="Q73" s="142"/>
      <c r="R73" s="142"/>
      <c r="S73" s="142">
        <v>0</v>
      </c>
      <c r="T73" s="33">
        <v>0</v>
      </c>
      <c r="U73" s="34">
        <v>0</v>
      </c>
      <c r="V73" s="35">
        <f t="shared" si="4"/>
        <v>0</v>
      </c>
    </row>
    <row r="74" spans="1:22" ht="15.75" thickBot="1" x14ac:dyDescent="0.3">
      <c r="A74" s="21">
        <v>70</v>
      </c>
      <c r="B74" s="150">
        <f>'X. Satser pensjonstilskudd'!B74</f>
        <v>0</v>
      </c>
      <c r="C74" s="18">
        <f>'X. Satser pensjonstilskudd'!C74</f>
        <v>0</v>
      </c>
      <c r="D74" s="18" t="str">
        <f>IFERROR(_xlfn.XLOOKUP($C74,factPensjon[Virksomhetsnr.],factPensjon[Forpliktelser]),"")</f>
        <v/>
      </c>
      <c r="E74" s="19">
        <f>SUMIFS(BasilRadata[Heltidsplasser
0-2],BasilRadata[År],'0. Oppsett'!$C$8,BasilRadata[1B. Organisasjonsnummer:],$C74)</f>
        <v>0</v>
      </c>
      <c r="F74" s="25">
        <f>'4. Selvkost og satser'!$B$54</f>
        <v>288170.9461329499</v>
      </c>
      <c r="G74" s="19">
        <f>SUMIFS(BasilRadata[Heltidsplasser
3-6],BasilRadata[År],'0. Oppsett'!$C$8,BasilRadata[1B. Organisasjonsnummer:],$C74)</f>
        <v>0</v>
      </c>
      <c r="H74" s="25">
        <f>'4. Selvkost og satser'!$B$55</f>
        <v>156604.23359926464</v>
      </c>
      <c r="I74" s="26">
        <f t="shared" si="5"/>
        <v>0</v>
      </c>
      <c r="J74" s="20">
        <f>SUMIFS(BasilRadata[8E. Oppgi antall årsverk barnehagen har pensjonsforpliktelser for:],'1. BASIL-rådata'!$I$3:$I$500,'X. Satser pensjonstilskudd'!$C74,BasilRadata[År],'0. Oppsett'!$C$8)</f>
        <v>0</v>
      </c>
      <c r="K74" s="30">
        <f>IFERROR(IF(OR(#REF!="",#REF!=""),0,J74*#REF!*#REF!*(1+'0. Oppsett'!$C$11)),0)</f>
        <v>0</v>
      </c>
      <c r="L74" s="95">
        <f t="shared" si="6"/>
        <v>0</v>
      </c>
      <c r="M74" s="31">
        <f t="shared" si="7"/>
        <v>0</v>
      </c>
      <c r="N74" s="32">
        <f>IFERROR(M74*'0. Oppsett'!$C$30,0)</f>
        <v>0</v>
      </c>
      <c r="O74" s="33">
        <v>0</v>
      </c>
      <c r="P74" s="142"/>
      <c r="Q74" s="142"/>
      <c r="R74" s="142"/>
      <c r="S74" s="142">
        <v>0</v>
      </c>
      <c r="T74" s="33">
        <v>0</v>
      </c>
      <c r="U74" s="34">
        <v>0</v>
      </c>
      <c r="V74" s="35">
        <f t="shared" si="4"/>
        <v>0</v>
      </c>
    </row>
    <row r="75" spans="1:22" ht="15.75" thickBot="1" x14ac:dyDescent="0.3">
      <c r="A75" s="17">
        <v>71</v>
      </c>
      <c r="B75" s="150">
        <f>'X. Satser pensjonstilskudd'!B75</f>
        <v>0</v>
      </c>
      <c r="C75" s="18">
        <f>'X. Satser pensjonstilskudd'!C75</f>
        <v>0</v>
      </c>
      <c r="D75" s="18" t="str">
        <f>IFERROR(_xlfn.XLOOKUP($C75,factPensjon[Virksomhetsnr.],factPensjon[Forpliktelser]),"")</f>
        <v/>
      </c>
      <c r="E75" s="19">
        <f>SUMIFS(BasilRadata[Heltidsplasser
0-2],BasilRadata[År],'0. Oppsett'!$C$8,BasilRadata[1B. Organisasjonsnummer:],$C75)</f>
        <v>0</v>
      </c>
      <c r="F75" s="25">
        <f>'4. Selvkost og satser'!$B$54</f>
        <v>288170.9461329499</v>
      </c>
      <c r="G75" s="19">
        <f>SUMIFS(BasilRadata[Heltidsplasser
3-6],BasilRadata[År],'0. Oppsett'!$C$8,BasilRadata[1B. Organisasjonsnummer:],$C75)</f>
        <v>0</v>
      </c>
      <c r="H75" s="25">
        <f>'4. Selvkost og satser'!$B$55</f>
        <v>156604.23359926464</v>
      </c>
      <c r="I75" s="26">
        <f t="shared" si="5"/>
        <v>0</v>
      </c>
      <c r="J75" s="20">
        <f>SUMIFS(BasilRadata[8E. Oppgi antall årsverk barnehagen har pensjonsforpliktelser for:],'1. BASIL-rådata'!$I$3:$I$500,'X. Satser pensjonstilskudd'!$C75,BasilRadata[År],'0. Oppsett'!$C$8)</f>
        <v>0</v>
      </c>
      <c r="K75" s="30">
        <f>IFERROR(IF(OR(#REF!="",#REF!=""),0,J75*#REF!*#REF!*(1+'0. Oppsett'!$C$11)),0)</f>
        <v>0</v>
      </c>
      <c r="L75" s="95">
        <f t="shared" si="6"/>
        <v>0</v>
      </c>
      <c r="M75" s="31">
        <f t="shared" si="7"/>
        <v>0</v>
      </c>
      <c r="N75" s="32">
        <f>IFERROR(M75*'0. Oppsett'!$C$30,0)</f>
        <v>0</v>
      </c>
      <c r="O75" s="33">
        <v>0</v>
      </c>
      <c r="P75" s="142"/>
      <c r="Q75" s="142"/>
      <c r="R75" s="142"/>
      <c r="S75" s="142">
        <v>0</v>
      </c>
      <c r="T75" s="33">
        <v>0</v>
      </c>
      <c r="U75" s="34">
        <v>0</v>
      </c>
      <c r="V75" s="35">
        <f t="shared" ref="V75:V138" si="8">IFERROR(IF(B75="",0,I75+K75+N75+O75+T75+U75),0)</f>
        <v>0</v>
      </c>
    </row>
    <row r="76" spans="1:22" ht="15.75" thickBot="1" x14ac:dyDescent="0.3">
      <c r="A76" s="21">
        <v>72</v>
      </c>
      <c r="B76" s="150">
        <f>'X. Satser pensjonstilskudd'!B76</f>
        <v>0</v>
      </c>
      <c r="C76" s="18">
        <f>'X. Satser pensjonstilskudd'!C76</f>
        <v>0</v>
      </c>
      <c r="D76" s="18" t="str">
        <f>IFERROR(_xlfn.XLOOKUP($C76,factPensjon[Virksomhetsnr.],factPensjon[Forpliktelser]),"")</f>
        <v/>
      </c>
      <c r="E76" s="19">
        <f>SUMIFS(BasilRadata[Heltidsplasser
0-2],BasilRadata[År],'0. Oppsett'!$C$8,BasilRadata[1B. Organisasjonsnummer:],$C76)</f>
        <v>0</v>
      </c>
      <c r="F76" s="25">
        <f>'4. Selvkost og satser'!$B$54</f>
        <v>288170.9461329499</v>
      </c>
      <c r="G76" s="19">
        <f>SUMIFS(BasilRadata[Heltidsplasser
3-6],BasilRadata[År],'0. Oppsett'!$C$8,BasilRadata[1B. Organisasjonsnummer:],$C76)</f>
        <v>0</v>
      </c>
      <c r="H76" s="25">
        <f>'4. Selvkost og satser'!$B$55</f>
        <v>156604.23359926464</v>
      </c>
      <c r="I76" s="26">
        <f t="shared" si="5"/>
        <v>0</v>
      </c>
      <c r="J76" s="20">
        <f>SUMIFS(BasilRadata[8E. Oppgi antall årsverk barnehagen har pensjonsforpliktelser for:],'1. BASIL-rådata'!$I$3:$I$500,'X. Satser pensjonstilskudd'!$C76,BasilRadata[År],'0. Oppsett'!$C$8)</f>
        <v>0</v>
      </c>
      <c r="K76" s="30">
        <f>IFERROR(IF(OR(#REF!="",#REF!=""),0,J76*#REF!*#REF!*(1+'0. Oppsett'!$C$11)),0)</f>
        <v>0</v>
      </c>
      <c r="L76" s="95">
        <f t="shared" si="6"/>
        <v>0</v>
      </c>
      <c r="M76" s="31">
        <f t="shared" si="7"/>
        <v>0</v>
      </c>
      <c r="N76" s="32">
        <f>IFERROR(M76*'0. Oppsett'!$C$30,0)</f>
        <v>0</v>
      </c>
      <c r="O76" s="33">
        <v>0</v>
      </c>
      <c r="P76" s="142"/>
      <c r="Q76" s="142"/>
      <c r="R76" s="142"/>
      <c r="S76" s="142">
        <v>0</v>
      </c>
      <c r="T76" s="33">
        <v>0</v>
      </c>
      <c r="U76" s="34">
        <v>0</v>
      </c>
      <c r="V76" s="35">
        <f t="shared" si="8"/>
        <v>0</v>
      </c>
    </row>
    <row r="77" spans="1:22" ht="15.75" thickBot="1" x14ac:dyDescent="0.3">
      <c r="A77" s="17">
        <v>73</v>
      </c>
      <c r="B77" s="150">
        <f>'X. Satser pensjonstilskudd'!B77</f>
        <v>0</v>
      </c>
      <c r="C77" s="18">
        <f>'X. Satser pensjonstilskudd'!C77</f>
        <v>0</v>
      </c>
      <c r="D77" s="18" t="str">
        <f>IFERROR(_xlfn.XLOOKUP($C77,factPensjon[Virksomhetsnr.],factPensjon[Forpliktelser]),"")</f>
        <v/>
      </c>
      <c r="E77" s="19">
        <f>SUMIFS(BasilRadata[Heltidsplasser
0-2],BasilRadata[År],'0. Oppsett'!$C$8,BasilRadata[1B. Organisasjonsnummer:],$C77)</f>
        <v>0</v>
      </c>
      <c r="F77" s="25">
        <f>'4. Selvkost og satser'!$B$54</f>
        <v>288170.9461329499</v>
      </c>
      <c r="G77" s="19">
        <f>SUMIFS(BasilRadata[Heltidsplasser
3-6],BasilRadata[År],'0. Oppsett'!$C$8,BasilRadata[1B. Organisasjonsnummer:],$C77)</f>
        <v>0</v>
      </c>
      <c r="H77" s="25">
        <f>'4. Selvkost og satser'!$B$55</f>
        <v>156604.23359926464</v>
      </c>
      <c r="I77" s="26">
        <f t="shared" si="5"/>
        <v>0</v>
      </c>
      <c r="J77" s="20">
        <f>SUMIFS(BasilRadata[8E. Oppgi antall årsverk barnehagen har pensjonsforpliktelser for:],'1. BASIL-rådata'!$I$3:$I$500,'X. Satser pensjonstilskudd'!$C77,BasilRadata[År],'0. Oppsett'!$C$8)</f>
        <v>0</v>
      </c>
      <c r="K77" s="30">
        <f>IFERROR(IF(OR(#REF!="",#REF!=""),0,J77*#REF!*#REF!*(1+'0. Oppsett'!$C$11)),0)</f>
        <v>0</v>
      </c>
      <c r="L77" s="95">
        <f t="shared" si="6"/>
        <v>0</v>
      </c>
      <c r="M77" s="31">
        <f t="shared" si="7"/>
        <v>0</v>
      </c>
      <c r="N77" s="32">
        <f>IFERROR(M77*'0. Oppsett'!$C$30,0)</f>
        <v>0</v>
      </c>
      <c r="O77" s="33">
        <v>0</v>
      </c>
      <c r="P77" s="142"/>
      <c r="Q77" s="142"/>
      <c r="R77" s="142"/>
      <c r="S77" s="142">
        <v>0</v>
      </c>
      <c r="T77" s="33">
        <v>0</v>
      </c>
      <c r="U77" s="34">
        <v>0</v>
      </c>
      <c r="V77" s="35">
        <f t="shared" si="8"/>
        <v>0</v>
      </c>
    </row>
    <row r="78" spans="1:22" ht="15.75" thickBot="1" x14ac:dyDescent="0.3">
      <c r="A78" s="21">
        <v>74</v>
      </c>
      <c r="B78" s="150">
        <f>'X. Satser pensjonstilskudd'!B78</f>
        <v>0</v>
      </c>
      <c r="C78" s="18">
        <f>'X. Satser pensjonstilskudd'!C78</f>
        <v>0</v>
      </c>
      <c r="D78" s="18" t="str">
        <f>IFERROR(_xlfn.XLOOKUP($C78,factPensjon[Virksomhetsnr.],factPensjon[Forpliktelser]),"")</f>
        <v/>
      </c>
      <c r="E78" s="19">
        <f>SUMIFS(BasilRadata[Heltidsplasser
0-2],BasilRadata[År],'0. Oppsett'!$C$8,BasilRadata[1B. Organisasjonsnummer:],$C78)</f>
        <v>0</v>
      </c>
      <c r="F78" s="25">
        <f>'4. Selvkost og satser'!$B$54</f>
        <v>288170.9461329499</v>
      </c>
      <c r="G78" s="19">
        <f>SUMIFS(BasilRadata[Heltidsplasser
3-6],BasilRadata[År],'0. Oppsett'!$C$8,BasilRadata[1B. Organisasjonsnummer:],$C78)</f>
        <v>0</v>
      </c>
      <c r="H78" s="25">
        <f>'4. Selvkost og satser'!$B$55</f>
        <v>156604.23359926464</v>
      </c>
      <c r="I78" s="26">
        <f t="shared" si="5"/>
        <v>0</v>
      </c>
      <c r="J78" s="20">
        <f>SUMIFS(BasilRadata[8E. Oppgi antall årsverk barnehagen har pensjonsforpliktelser for:],'1. BASIL-rådata'!$I$3:$I$500,'X. Satser pensjonstilskudd'!$C78,BasilRadata[År],'0. Oppsett'!$C$8)</f>
        <v>0</v>
      </c>
      <c r="K78" s="30">
        <f>IFERROR(IF(OR(#REF!="",#REF!=""),0,J78*#REF!*#REF!*(1+'0. Oppsett'!$C$11)),0)</f>
        <v>0</v>
      </c>
      <c r="L78" s="95">
        <f t="shared" si="6"/>
        <v>0</v>
      </c>
      <c r="M78" s="31">
        <f t="shared" si="7"/>
        <v>0</v>
      </c>
      <c r="N78" s="32">
        <f>IFERROR(M78*'0. Oppsett'!$C$30,0)</f>
        <v>0</v>
      </c>
      <c r="O78" s="33">
        <v>0</v>
      </c>
      <c r="P78" s="142"/>
      <c r="Q78" s="142"/>
      <c r="R78" s="142"/>
      <c r="S78" s="142">
        <v>0</v>
      </c>
      <c r="T78" s="33">
        <v>0</v>
      </c>
      <c r="U78" s="34">
        <v>0</v>
      </c>
      <c r="V78" s="35">
        <f t="shared" si="8"/>
        <v>0</v>
      </c>
    </row>
    <row r="79" spans="1:22" ht="15.75" thickBot="1" x14ac:dyDescent="0.3">
      <c r="A79" s="17">
        <v>75</v>
      </c>
      <c r="B79" s="150">
        <f>'X. Satser pensjonstilskudd'!B79</f>
        <v>0</v>
      </c>
      <c r="C79" s="18">
        <f>'X. Satser pensjonstilskudd'!C79</f>
        <v>0</v>
      </c>
      <c r="D79" s="18" t="str">
        <f>IFERROR(_xlfn.XLOOKUP($C79,factPensjon[Virksomhetsnr.],factPensjon[Forpliktelser]),"")</f>
        <v/>
      </c>
      <c r="E79" s="19">
        <f>SUMIFS(BasilRadata[Heltidsplasser
0-2],BasilRadata[År],'0. Oppsett'!$C$8,BasilRadata[1B. Organisasjonsnummer:],$C79)</f>
        <v>0</v>
      </c>
      <c r="F79" s="25">
        <f>'4. Selvkost og satser'!$B$54</f>
        <v>288170.9461329499</v>
      </c>
      <c r="G79" s="19">
        <f>SUMIFS(BasilRadata[Heltidsplasser
3-6],BasilRadata[År],'0. Oppsett'!$C$8,BasilRadata[1B. Organisasjonsnummer:],$C79)</f>
        <v>0</v>
      </c>
      <c r="H79" s="25">
        <f>'4. Selvkost og satser'!$B$55</f>
        <v>156604.23359926464</v>
      </c>
      <c r="I79" s="26">
        <f t="shared" si="5"/>
        <v>0</v>
      </c>
      <c r="J79" s="20">
        <f>SUMIFS(BasilRadata[8E. Oppgi antall årsverk barnehagen har pensjonsforpliktelser for:],'1. BASIL-rådata'!$I$3:$I$500,'X. Satser pensjonstilskudd'!$C79,BasilRadata[År],'0. Oppsett'!$C$8)</f>
        <v>0</v>
      </c>
      <c r="K79" s="30">
        <f>IFERROR(IF(OR(#REF!="",#REF!=""),0,J79*#REF!*#REF!*(1+'0. Oppsett'!$C$11)),0)</f>
        <v>0</v>
      </c>
      <c r="L79" s="95">
        <f t="shared" si="6"/>
        <v>0</v>
      </c>
      <c r="M79" s="31">
        <f t="shared" si="7"/>
        <v>0</v>
      </c>
      <c r="N79" s="32">
        <f>IFERROR(M79*'0. Oppsett'!$C$30,0)</f>
        <v>0</v>
      </c>
      <c r="O79" s="33">
        <v>0</v>
      </c>
      <c r="P79" s="142"/>
      <c r="Q79" s="142"/>
      <c r="R79" s="142"/>
      <c r="S79" s="142">
        <v>0</v>
      </c>
      <c r="T79" s="33">
        <v>0</v>
      </c>
      <c r="U79" s="34">
        <v>0</v>
      </c>
      <c r="V79" s="35">
        <f t="shared" si="8"/>
        <v>0</v>
      </c>
    </row>
    <row r="80" spans="1:22" ht="15.75" thickBot="1" x14ac:dyDescent="0.3">
      <c r="A80" s="21">
        <v>76</v>
      </c>
      <c r="B80" s="150">
        <f>'X. Satser pensjonstilskudd'!B80</f>
        <v>0</v>
      </c>
      <c r="C80" s="18">
        <f>'X. Satser pensjonstilskudd'!C80</f>
        <v>0</v>
      </c>
      <c r="D80" s="18" t="str">
        <f>IFERROR(_xlfn.XLOOKUP($C80,factPensjon[Virksomhetsnr.],factPensjon[Forpliktelser]),"")</f>
        <v/>
      </c>
      <c r="E80" s="19">
        <f>SUMIFS(BasilRadata[Heltidsplasser
0-2],BasilRadata[År],'0. Oppsett'!$C$8,BasilRadata[1B. Organisasjonsnummer:],$C80)</f>
        <v>0</v>
      </c>
      <c r="F80" s="25">
        <f>'4. Selvkost og satser'!$B$54</f>
        <v>288170.9461329499</v>
      </c>
      <c r="G80" s="19">
        <f>SUMIFS(BasilRadata[Heltidsplasser
3-6],BasilRadata[År],'0. Oppsett'!$C$8,BasilRadata[1B. Organisasjonsnummer:],$C80)</f>
        <v>0</v>
      </c>
      <c r="H80" s="25">
        <f>'4. Selvkost og satser'!$B$55</f>
        <v>156604.23359926464</v>
      </c>
      <c r="I80" s="26">
        <f t="shared" si="5"/>
        <v>0</v>
      </c>
      <c r="J80" s="20">
        <f>SUMIFS(BasilRadata[8E. Oppgi antall årsverk barnehagen har pensjonsforpliktelser for:],'1. BASIL-rådata'!$I$3:$I$500,'X. Satser pensjonstilskudd'!$C80,BasilRadata[År],'0. Oppsett'!$C$8)</f>
        <v>0</v>
      </c>
      <c r="K80" s="30">
        <f>IFERROR(IF(OR(#REF!="",#REF!=""),0,J80*#REF!*#REF!*(1+'0. Oppsett'!$C$11)),0)</f>
        <v>0</v>
      </c>
      <c r="L80" s="95">
        <f t="shared" si="6"/>
        <v>0</v>
      </c>
      <c r="M80" s="31">
        <f t="shared" si="7"/>
        <v>0</v>
      </c>
      <c r="N80" s="32">
        <f>IFERROR(M80*'0. Oppsett'!$C$30,0)</f>
        <v>0</v>
      </c>
      <c r="O80" s="33">
        <v>0</v>
      </c>
      <c r="P80" s="142"/>
      <c r="Q80" s="142"/>
      <c r="R80" s="142"/>
      <c r="S80" s="142">
        <v>0</v>
      </c>
      <c r="T80" s="33">
        <v>0</v>
      </c>
      <c r="U80" s="34">
        <v>0</v>
      </c>
      <c r="V80" s="35">
        <f t="shared" si="8"/>
        <v>0</v>
      </c>
    </row>
    <row r="81" spans="1:22" ht="15.75" thickBot="1" x14ac:dyDescent="0.3">
      <c r="A81" s="17">
        <v>77</v>
      </c>
      <c r="B81" s="150">
        <f>'X. Satser pensjonstilskudd'!B81</f>
        <v>0</v>
      </c>
      <c r="C81" s="18">
        <f>'X. Satser pensjonstilskudd'!C81</f>
        <v>0</v>
      </c>
      <c r="D81" s="18" t="str">
        <f>IFERROR(_xlfn.XLOOKUP($C81,factPensjon[Virksomhetsnr.],factPensjon[Forpliktelser]),"")</f>
        <v/>
      </c>
      <c r="E81" s="19">
        <f>SUMIFS(BasilRadata[Heltidsplasser
0-2],BasilRadata[År],'0. Oppsett'!$C$8,BasilRadata[1B. Organisasjonsnummer:],$C81)</f>
        <v>0</v>
      </c>
      <c r="F81" s="25">
        <f>'4. Selvkost og satser'!$B$54</f>
        <v>288170.9461329499</v>
      </c>
      <c r="G81" s="19">
        <f>SUMIFS(BasilRadata[Heltidsplasser
3-6],BasilRadata[År],'0. Oppsett'!$C$8,BasilRadata[1B. Organisasjonsnummer:],$C81)</f>
        <v>0</v>
      </c>
      <c r="H81" s="25">
        <f>'4. Selvkost og satser'!$B$55</f>
        <v>156604.23359926464</v>
      </c>
      <c r="I81" s="26">
        <f t="shared" si="5"/>
        <v>0</v>
      </c>
      <c r="J81" s="20">
        <f>SUMIFS(BasilRadata[8E. Oppgi antall årsverk barnehagen har pensjonsforpliktelser for:],'1. BASIL-rådata'!$I$3:$I$500,'X. Satser pensjonstilskudd'!$C81,BasilRadata[År],'0. Oppsett'!$C$8)</f>
        <v>0</v>
      </c>
      <c r="K81" s="30">
        <f>IFERROR(IF(OR(#REF!="",#REF!=""),0,J81*#REF!*#REF!*(1+'0. Oppsett'!$C$11)),0)</f>
        <v>0</v>
      </c>
      <c r="L81" s="95">
        <f t="shared" si="6"/>
        <v>0</v>
      </c>
      <c r="M81" s="31">
        <f t="shared" si="7"/>
        <v>0</v>
      </c>
      <c r="N81" s="32">
        <f>IFERROR(M81*'0. Oppsett'!$C$30,0)</f>
        <v>0</v>
      </c>
      <c r="O81" s="33">
        <v>0</v>
      </c>
      <c r="P81" s="142"/>
      <c r="Q81" s="142"/>
      <c r="R81" s="142"/>
      <c r="S81" s="142">
        <v>0</v>
      </c>
      <c r="T81" s="33">
        <v>0</v>
      </c>
      <c r="U81" s="34">
        <v>0</v>
      </c>
      <c r="V81" s="35">
        <f t="shared" si="8"/>
        <v>0</v>
      </c>
    </row>
    <row r="82" spans="1:22" ht="15.75" thickBot="1" x14ac:dyDescent="0.3">
      <c r="A82" s="21">
        <v>78</v>
      </c>
      <c r="B82" s="150">
        <f>'X. Satser pensjonstilskudd'!B82</f>
        <v>0</v>
      </c>
      <c r="C82" s="18">
        <f>'X. Satser pensjonstilskudd'!C82</f>
        <v>0</v>
      </c>
      <c r="D82" s="18" t="str">
        <f>IFERROR(_xlfn.XLOOKUP($C82,factPensjon[Virksomhetsnr.],factPensjon[Forpliktelser]),"")</f>
        <v/>
      </c>
      <c r="E82" s="19">
        <f>SUMIFS(BasilRadata[Heltidsplasser
0-2],BasilRadata[År],'0. Oppsett'!$C$8,BasilRadata[1B. Organisasjonsnummer:],$C82)</f>
        <v>0</v>
      </c>
      <c r="F82" s="25">
        <f>'4. Selvkost og satser'!$B$54</f>
        <v>288170.9461329499</v>
      </c>
      <c r="G82" s="19">
        <f>SUMIFS(BasilRadata[Heltidsplasser
3-6],BasilRadata[År],'0. Oppsett'!$C$8,BasilRadata[1B. Organisasjonsnummer:],$C82)</f>
        <v>0</v>
      </c>
      <c r="H82" s="25">
        <f>'4. Selvkost og satser'!$B$55</f>
        <v>156604.23359926464</v>
      </c>
      <c r="I82" s="26">
        <f t="shared" si="5"/>
        <v>0</v>
      </c>
      <c r="J82" s="20">
        <f>SUMIFS(BasilRadata[8E. Oppgi antall årsverk barnehagen har pensjonsforpliktelser for:],'1. BASIL-rådata'!$I$3:$I$500,'X. Satser pensjonstilskudd'!$C82,BasilRadata[År],'0. Oppsett'!$C$8)</f>
        <v>0</v>
      </c>
      <c r="K82" s="30">
        <f>IFERROR(IF(OR(#REF!="",#REF!=""),0,J82*#REF!*#REF!*(1+'0. Oppsett'!$C$11)),0)</f>
        <v>0</v>
      </c>
      <c r="L82" s="95">
        <f t="shared" si="6"/>
        <v>0</v>
      </c>
      <c r="M82" s="31">
        <f t="shared" si="7"/>
        <v>0</v>
      </c>
      <c r="N82" s="32">
        <f>IFERROR(M82*'0. Oppsett'!$C$30,0)</f>
        <v>0</v>
      </c>
      <c r="O82" s="33">
        <v>0</v>
      </c>
      <c r="P82" s="142"/>
      <c r="Q82" s="142"/>
      <c r="R82" s="142"/>
      <c r="S82" s="142">
        <v>0</v>
      </c>
      <c r="T82" s="33">
        <v>0</v>
      </c>
      <c r="U82" s="34">
        <v>0</v>
      </c>
      <c r="V82" s="35">
        <f t="shared" si="8"/>
        <v>0</v>
      </c>
    </row>
    <row r="83" spans="1:22" ht="15.75" thickBot="1" x14ac:dyDescent="0.3">
      <c r="A83" s="17">
        <v>79</v>
      </c>
      <c r="B83" s="150">
        <f>'X. Satser pensjonstilskudd'!B83</f>
        <v>0</v>
      </c>
      <c r="C83" s="18">
        <f>'X. Satser pensjonstilskudd'!C83</f>
        <v>0</v>
      </c>
      <c r="D83" s="18" t="str">
        <f>IFERROR(_xlfn.XLOOKUP($C83,factPensjon[Virksomhetsnr.],factPensjon[Forpliktelser]),"")</f>
        <v/>
      </c>
      <c r="E83" s="19">
        <f>SUMIFS(BasilRadata[Heltidsplasser
0-2],BasilRadata[År],'0. Oppsett'!$C$8,BasilRadata[1B. Organisasjonsnummer:],$C83)</f>
        <v>0</v>
      </c>
      <c r="F83" s="25">
        <f>'4. Selvkost og satser'!$B$54</f>
        <v>288170.9461329499</v>
      </c>
      <c r="G83" s="19">
        <f>SUMIFS(BasilRadata[Heltidsplasser
3-6],BasilRadata[År],'0. Oppsett'!$C$8,BasilRadata[1B. Organisasjonsnummer:],$C83)</f>
        <v>0</v>
      </c>
      <c r="H83" s="25">
        <f>'4. Selvkost og satser'!$B$55</f>
        <v>156604.23359926464</v>
      </c>
      <c r="I83" s="26">
        <f t="shared" si="5"/>
        <v>0</v>
      </c>
      <c r="J83" s="20">
        <f>SUMIFS(BasilRadata[8E. Oppgi antall årsverk barnehagen har pensjonsforpliktelser for:],'1. BASIL-rådata'!$I$3:$I$500,'X. Satser pensjonstilskudd'!$C83,BasilRadata[År],'0. Oppsett'!$C$8)</f>
        <v>0</v>
      </c>
      <c r="K83" s="30">
        <f>IFERROR(IF(OR(#REF!="",#REF!=""),0,J83*#REF!*#REF!*(1+'0. Oppsett'!$C$11)),0)</f>
        <v>0</v>
      </c>
      <c r="L83" s="95">
        <f t="shared" si="6"/>
        <v>0</v>
      </c>
      <c r="M83" s="31">
        <f t="shared" si="7"/>
        <v>0</v>
      </c>
      <c r="N83" s="32">
        <f>IFERROR(M83*'0. Oppsett'!$C$30,0)</f>
        <v>0</v>
      </c>
      <c r="O83" s="33">
        <v>0</v>
      </c>
      <c r="P83" s="142"/>
      <c r="Q83" s="142"/>
      <c r="R83" s="142"/>
      <c r="S83" s="142">
        <v>0</v>
      </c>
      <c r="T83" s="33">
        <v>0</v>
      </c>
      <c r="U83" s="34">
        <v>0</v>
      </c>
      <c r="V83" s="35">
        <f t="shared" si="8"/>
        <v>0</v>
      </c>
    </row>
    <row r="84" spans="1:22" ht="15.75" thickBot="1" x14ac:dyDescent="0.3">
      <c r="A84" s="21">
        <v>80</v>
      </c>
      <c r="B84" s="150">
        <f>'X. Satser pensjonstilskudd'!B84</f>
        <v>0</v>
      </c>
      <c r="C84" s="18">
        <f>'X. Satser pensjonstilskudd'!C84</f>
        <v>0</v>
      </c>
      <c r="D84" s="18" t="str">
        <f>IFERROR(_xlfn.XLOOKUP($C84,factPensjon[Virksomhetsnr.],factPensjon[Forpliktelser]),"")</f>
        <v/>
      </c>
      <c r="E84" s="19">
        <f>SUMIFS(BasilRadata[Heltidsplasser
0-2],BasilRadata[År],'0. Oppsett'!$C$8,BasilRadata[1B. Organisasjonsnummer:],$C84)</f>
        <v>0</v>
      </c>
      <c r="F84" s="25">
        <f>'4. Selvkost og satser'!$B$54</f>
        <v>288170.9461329499</v>
      </c>
      <c r="G84" s="19">
        <f>SUMIFS(BasilRadata[Heltidsplasser
3-6],BasilRadata[År],'0. Oppsett'!$C$8,BasilRadata[1B. Organisasjonsnummer:],$C84)</f>
        <v>0</v>
      </c>
      <c r="H84" s="25">
        <f>'4. Selvkost og satser'!$B$55</f>
        <v>156604.23359926464</v>
      </c>
      <c r="I84" s="26">
        <f t="shared" si="5"/>
        <v>0</v>
      </c>
      <c r="J84" s="20">
        <f>SUMIFS(BasilRadata[8E. Oppgi antall årsverk barnehagen har pensjonsforpliktelser for:],'1. BASIL-rådata'!$I$3:$I$500,'X. Satser pensjonstilskudd'!$C84,BasilRadata[År],'0. Oppsett'!$C$8)</f>
        <v>0</v>
      </c>
      <c r="K84" s="30">
        <f>IFERROR(IF(OR(#REF!="",#REF!=""),0,J84*#REF!*#REF!*(1+'0. Oppsett'!$C$11)),0)</f>
        <v>0</v>
      </c>
      <c r="L84" s="95">
        <f t="shared" si="6"/>
        <v>0</v>
      </c>
      <c r="M84" s="31">
        <f t="shared" si="7"/>
        <v>0</v>
      </c>
      <c r="N84" s="32">
        <f>IFERROR(M84*'0. Oppsett'!$C$30,0)</f>
        <v>0</v>
      </c>
      <c r="O84" s="33">
        <v>0</v>
      </c>
      <c r="P84" s="142"/>
      <c r="Q84" s="142"/>
      <c r="R84" s="142"/>
      <c r="S84" s="142">
        <v>0</v>
      </c>
      <c r="T84" s="33">
        <v>0</v>
      </c>
      <c r="U84" s="34">
        <v>0</v>
      </c>
      <c r="V84" s="35">
        <f t="shared" si="8"/>
        <v>0</v>
      </c>
    </row>
    <row r="85" spans="1:22" ht="15.75" thickBot="1" x14ac:dyDescent="0.3">
      <c r="A85" s="17">
        <v>81</v>
      </c>
      <c r="B85" s="150">
        <f>'X. Satser pensjonstilskudd'!B85</f>
        <v>0</v>
      </c>
      <c r="C85" s="18">
        <f>'X. Satser pensjonstilskudd'!C85</f>
        <v>0</v>
      </c>
      <c r="D85" s="18" t="str">
        <f>IFERROR(_xlfn.XLOOKUP($C85,factPensjon[Virksomhetsnr.],factPensjon[Forpliktelser]),"")</f>
        <v/>
      </c>
      <c r="E85" s="19">
        <f>SUMIFS(BasilRadata[Heltidsplasser
0-2],BasilRadata[År],'0. Oppsett'!$C$8,BasilRadata[1B. Organisasjonsnummer:],$C85)</f>
        <v>0</v>
      </c>
      <c r="F85" s="25">
        <f>'4. Selvkost og satser'!$B$54</f>
        <v>288170.9461329499</v>
      </c>
      <c r="G85" s="19">
        <f>SUMIFS(BasilRadata[Heltidsplasser
3-6],BasilRadata[År],'0. Oppsett'!$C$8,BasilRadata[1B. Organisasjonsnummer:],$C85)</f>
        <v>0</v>
      </c>
      <c r="H85" s="25">
        <f>'4. Selvkost og satser'!$B$55</f>
        <v>156604.23359926464</v>
      </c>
      <c r="I85" s="26">
        <f t="shared" si="5"/>
        <v>0</v>
      </c>
      <c r="J85" s="20">
        <f>SUMIFS(BasilRadata[8E. Oppgi antall årsverk barnehagen har pensjonsforpliktelser for:],'1. BASIL-rådata'!$I$3:$I$500,'X. Satser pensjonstilskudd'!$C85,BasilRadata[År],'0. Oppsett'!$C$8)</f>
        <v>0</v>
      </c>
      <c r="K85" s="30">
        <f>IFERROR(IF(OR(#REF!="",#REF!=""),0,J85*#REF!*#REF!*(1+'0. Oppsett'!$C$11)),0)</f>
        <v>0</v>
      </c>
      <c r="L85" s="95">
        <f t="shared" si="6"/>
        <v>0</v>
      </c>
      <c r="M85" s="31">
        <f t="shared" si="7"/>
        <v>0</v>
      </c>
      <c r="N85" s="32">
        <f>IFERROR(M85*'0. Oppsett'!$C$30,0)</f>
        <v>0</v>
      </c>
      <c r="O85" s="33">
        <v>0</v>
      </c>
      <c r="P85" s="142"/>
      <c r="Q85" s="142"/>
      <c r="R85" s="142"/>
      <c r="S85" s="142">
        <v>0</v>
      </c>
      <c r="T85" s="33">
        <v>0</v>
      </c>
      <c r="U85" s="34">
        <v>0</v>
      </c>
      <c r="V85" s="35">
        <f t="shared" si="8"/>
        <v>0</v>
      </c>
    </row>
    <row r="86" spans="1:22" ht="15.75" thickBot="1" x14ac:dyDescent="0.3">
      <c r="A86" s="21">
        <v>82</v>
      </c>
      <c r="B86" s="150">
        <f>'X. Satser pensjonstilskudd'!B86</f>
        <v>0</v>
      </c>
      <c r="C86" s="18">
        <f>'X. Satser pensjonstilskudd'!C86</f>
        <v>0</v>
      </c>
      <c r="D86" s="18" t="str">
        <f>IFERROR(_xlfn.XLOOKUP($C86,factPensjon[Virksomhetsnr.],factPensjon[Forpliktelser]),"")</f>
        <v/>
      </c>
      <c r="E86" s="19">
        <f>SUMIFS(BasilRadata[Heltidsplasser
0-2],BasilRadata[År],'0. Oppsett'!$C$8,BasilRadata[1B. Organisasjonsnummer:],$C86)</f>
        <v>0</v>
      </c>
      <c r="F86" s="25">
        <f>'4. Selvkost og satser'!$B$54</f>
        <v>288170.9461329499</v>
      </c>
      <c r="G86" s="19">
        <f>SUMIFS(BasilRadata[Heltidsplasser
3-6],BasilRadata[År],'0. Oppsett'!$C$8,BasilRadata[1B. Organisasjonsnummer:],$C86)</f>
        <v>0</v>
      </c>
      <c r="H86" s="25">
        <f>'4. Selvkost og satser'!$B$55</f>
        <v>156604.23359926464</v>
      </c>
      <c r="I86" s="26">
        <f t="shared" si="5"/>
        <v>0</v>
      </c>
      <c r="J86" s="20">
        <f>SUMIFS(BasilRadata[8E. Oppgi antall årsverk barnehagen har pensjonsforpliktelser for:],'1. BASIL-rådata'!$I$3:$I$500,'X. Satser pensjonstilskudd'!$C86,BasilRadata[År],'0. Oppsett'!$C$8)</f>
        <v>0</v>
      </c>
      <c r="K86" s="30">
        <f>IFERROR(IF(OR(#REF!="",#REF!=""),0,J86*#REF!*#REF!*(1+'0. Oppsett'!$C$11)),0)</f>
        <v>0</v>
      </c>
      <c r="L86" s="95">
        <f t="shared" si="6"/>
        <v>0</v>
      </c>
      <c r="M86" s="31">
        <f t="shared" si="7"/>
        <v>0</v>
      </c>
      <c r="N86" s="32">
        <f>IFERROR(M86*'0. Oppsett'!$C$30,0)</f>
        <v>0</v>
      </c>
      <c r="O86" s="33">
        <v>0</v>
      </c>
      <c r="P86" s="142"/>
      <c r="Q86" s="142"/>
      <c r="R86" s="142"/>
      <c r="S86" s="142">
        <v>0</v>
      </c>
      <c r="T86" s="33">
        <v>0</v>
      </c>
      <c r="U86" s="34">
        <v>0</v>
      </c>
      <c r="V86" s="35">
        <f t="shared" si="8"/>
        <v>0</v>
      </c>
    </row>
    <row r="87" spans="1:22" ht="15.75" thickBot="1" x14ac:dyDescent="0.3">
      <c r="A87" s="17">
        <v>83</v>
      </c>
      <c r="B87" s="150">
        <f>'X. Satser pensjonstilskudd'!B87</f>
        <v>0</v>
      </c>
      <c r="C87" s="18">
        <f>'X. Satser pensjonstilskudd'!C87</f>
        <v>0</v>
      </c>
      <c r="D87" s="18" t="str">
        <f>IFERROR(_xlfn.XLOOKUP($C87,factPensjon[Virksomhetsnr.],factPensjon[Forpliktelser]),"")</f>
        <v/>
      </c>
      <c r="E87" s="19">
        <f>SUMIFS(BasilRadata[Heltidsplasser
0-2],BasilRadata[År],'0. Oppsett'!$C$8,BasilRadata[1B. Organisasjonsnummer:],$C87)</f>
        <v>0</v>
      </c>
      <c r="F87" s="25">
        <f>'4. Selvkost og satser'!$B$54</f>
        <v>288170.9461329499</v>
      </c>
      <c r="G87" s="19">
        <f>SUMIFS(BasilRadata[Heltidsplasser
3-6],BasilRadata[År],'0. Oppsett'!$C$8,BasilRadata[1B. Organisasjonsnummer:],$C87)</f>
        <v>0</v>
      </c>
      <c r="H87" s="25">
        <f>'4. Selvkost og satser'!$B$55</f>
        <v>156604.23359926464</v>
      </c>
      <c r="I87" s="26">
        <f t="shared" si="5"/>
        <v>0</v>
      </c>
      <c r="J87" s="20">
        <f>SUMIFS(BasilRadata[8E. Oppgi antall årsverk barnehagen har pensjonsforpliktelser for:],'1. BASIL-rådata'!$I$3:$I$500,'X. Satser pensjonstilskudd'!$C87,BasilRadata[År],'0. Oppsett'!$C$8)</f>
        <v>0</v>
      </c>
      <c r="K87" s="30">
        <f>IFERROR(IF(OR(#REF!="",#REF!=""),0,J87*#REF!*#REF!*(1+'0. Oppsett'!$C$11)),0)</f>
        <v>0</v>
      </c>
      <c r="L87" s="95">
        <f t="shared" si="6"/>
        <v>0</v>
      </c>
      <c r="M87" s="31">
        <f t="shared" si="7"/>
        <v>0</v>
      </c>
      <c r="N87" s="32">
        <f>IFERROR(M87*'0. Oppsett'!$C$30,0)</f>
        <v>0</v>
      </c>
      <c r="O87" s="33">
        <v>0</v>
      </c>
      <c r="P87" s="142"/>
      <c r="Q87" s="142"/>
      <c r="R87" s="142"/>
      <c r="S87" s="142">
        <v>0</v>
      </c>
      <c r="T87" s="33">
        <v>0</v>
      </c>
      <c r="U87" s="34">
        <v>0</v>
      </c>
      <c r="V87" s="35">
        <f t="shared" si="8"/>
        <v>0</v>
      </c>
    </row>
    <row r="88" spans="1:22" ht="15.75" thickBot="1" x14ac:dyDescent="0.3">
      <c r="A88" s="21">
        <v>84</v>
      </c>
      <c r="B88" s="150">
        <f>'X. Satser pensjonstilskudd'!B88</f>
        <v>0</v>
      </c>
      <c r="C88" s="18">
        <f>'X. Satser pensjonstilskudd'!C88</f>
        <v>0</v>
      </c>
      <c r="D88" s="18" t="str">
        <f>IFERROR(_xlfn.XLOOKUP($C88,factPensjon[Virksomhetsnr.],factPensjon[Forpliktelser]),"")</f>
        <v/>
      </c>
      <c r="E88" s="19">
        <f>SUMIFS(BasilRadata[Heltidsplasser
0-2],BasilRadata[År],'0. Oppsett'!$C$8,BasilRadata[1B. Organisasjonsnummer:],$C88)</f>
        <v>0</v>
      </c>
      <c r="F88" s="25">
        <f>'4. Selvkost og satser'!$B$54</f>
        <v>288170.9461329499</v>
      </c>
      <c r="G88" s="19">
        <f>SUMIFS(BasilRadata[Heltidsplasser
3-6],BasilRadata[År],'0. Oppsett'!$C$8,BasilRadata[1B. Organisasjonsnummer:],$C88)</f>
        <v>0</v>
      </c>
      <c r="H88" s="25">
        <f>'4. Selvkost og satser'!$B$55</f>
        <v>156604.23359926464</v>
      </c>
      <c r="I88" s="26">
        <f t="shared" si="5"/>
        <v>0</v>
      </c>
      <c r="J88" s="20">
        <f>SUMIFS(BasilRadata[8E. Oppgi antall årsverk barnehagen har pensjonsforpliktelser for:],'1. BASIL-rådata'!$I$3:$I$500,'X. Satser pensjonstilskudd'!$C88,BasilRadata[År],'0. Oppsett'!$C$8)</f>
        <v>0</v>
      </c>
      <c r="K88" s="30">
        <f>IFERROR(IF(OR(#REF!="",#REF!=""),0,J88*#REF!*#REF!*(1+'0. Oppsett'!$C$11)),0)</f>
        <v>0</v>
      </c>
      <c r="L88" s="95">
        <f t="shared" si="6"/>
        <v>0</v>
      </c>
      <c r="M88" s="31">
        <f t="shared" si="7"/>
        <v>0</v>
      </c>
      <c r="N88" s="32">
        <f>IFERROR(M88*'0. Oppsett'!$C$30,0)</f>
        <v>0</v>
      </c>
      <c r="O88" s="33">
        <v>0</v>
      </c>
      <c r="P88" s="142"/>
      <c r="Q88" s="142"/>
      <c r="R88" s="142"/>
      <c r="S88" s="142">
        <v>0</v>
      </c>
      <c r="T88" s="33">
        <v>0</v>
      </c>
      <c r="U88" s="34">
        <v>0</v>
      </c>
      <c r="V88" s="35">
        <f t="shared" si="8"/>
        <v>0</v>
      </c>
    </row>
    <row r="89" spans="1:22" ht="15.75" thickBot="1" x14ac:dyDescent="0.3">
      <c r="A89" s="17">
        <v>85</v>
      </c>
      <c r="B89" s="150">
        <f>'X. Satser pensjonstilskudd'!B89</f>
        <v>0</v>
      </c>
      <c r="C89" s="18">
        <f>'X. Satser pensjonstilskudd'!C89</f>
        <v>0</v>
      </c>
      <c r="D89" s="18" t="str">
        <f>IFERROR(_xlfn.XLOOKUP($C89,factPensjon[Virksomhetsnr.],factPensjon[Forpliktelser]),"")</f>
        <v/>
      </c>
      <c r="E89" s="19">
        <f>SUMIFS(BasilRadata[Heltidsplasser
0-2],BasilRadata[År],'0. Oppsett'!$C$8,BasilRadata[1B. Organisasjonsnummer:],$C89)</f>
        <v>0</v>
      </c>
      <c r="F89" s="25">
        <f>'4. Selvkost og satser'!$B$54</f>
        <v>288170.9461329499</v>
      </c>
      <c r="G89" s="19">
        <f>SUMIFS(BasilRadata[Heltidsplasser
3-6],BasilRadata[År],'0. Oppsett'!$C$8,BasilRadata[1B. Organisasjonsnummer:],$C89)</f>
        <v>0</v>
      </c>
      <c r="H89" s="25">
        <f>'4. Selvkost og satser'!$B$55</f>
        <v>156604.23359926464</v>
      </c>
      <c r="I89" s="26">
        <f t="shared" si="5"/>
        <v>0</v>
      </c>
      <c r="J89" s="20">
        <f>SUMIFS(BasilRadata[8E. Oppgi antall årsverk barnehagen har pensjonsforpliktelser for:],'1. BASIL-rådata'!$I$3:$I$500,'X. Satser pensjonstilskudd'!$C89,BasilRadata[År],'0. Oppsett'!$C$8)</f>
        <v>0</v>
      </c>
      <c r="K89" s="30">
        <f>IFERROR(IF(OR(#REF!="",#REF!=""),0,J89*#REF!*#REF!*(1+'0. Oppsett'!$C$11)),0)</f>
        <v>0</v>
      </c>
      <c r="L89" s="95">
        <f t="shared" si="6"/>
        <v>0</v>
      </c>
      <c r="M89" s="31">
        <f t="shared" si="7"/>
        <v>0</v>
      </c>
      <c r="N89" s="32">
        <f>IFERROR(M89*'0. Oppsett'!$C$30,0)</f>
        <v>0</v>
      </c>
      <c r="O89" s="33">
        <v>0</v>
      </c>
      <c r="P89" s="142"/>
      <c r="Q89" s="142"/>
      <c r="R89" s="142"/>
      <c r="S89" s="142">
        <v>0</v>
      </c>
      <c r="T89" s="33">
        <v>0</v>
      </c>
      <c r="U89" s="34">
        <v>0</v>
      </c>
      <c r="V89" s="35">
        <f t="shared" si="8"/>
        <v>0</v>
      </c>
    </row>
    <row r="90" spans="1:22" ht="15.75" thickBot="1" x14ac:dyDescent="0.3">
      <c r="A90" s="21">
        <v>86</v>
      </c>
      <c r="B90" s="150">
        <f>'X. Satser pensjonstilskudd'!B90</f>
        <v>0</v>
      </c>
      <c r="C90" s="18">
        <f>'X. Satser pensjonstilskudd'!C90</f>
        <v>0</v>
      </c>
      <c r="D90" s="18" t="str">
        <f>IFERROR(_xlfn.XLOOKUP($C90,factPensjon[Virksomhetsnr.],factPensjon[Forpliktelser]),"")</f>
        <v/>
      </c>
      <c r="E90" s="19">
        <f>SUMIFS(BasilRadata[Heltidsplasser
0-2],BasilRadata[År],'0. Oppsett'!$C$8,BasilRadata[1B. Organisasjonsnummer:],$C90)</f>
        <v>0</v>
      </c>
      <c r="F90" s="25">
        <f>'4. Selvkost og satser'!$B$54</f>
        <v>288170.9461329499</v>
      </c>
      <c r="G90" s="19">
        <f>SUMIFS(BasilRadata[Heltidsplasser
3-6],BasilRadata[År],'0. Oppsett'!$C$8,BasilRadata[1B. Organisasjonsnummer:],$C90)</f>
        <v>0</v>
      </c>
      <c r="H90" s="25">
        <f>'4. Selvkost og satser'!$B$55</f>
        <v>156604.23359926464</v>
      </c>
      <c r="I90" s="26">
        <f t="shared" si="5"/>
        <v>0</v>
      </c>
      <c r="J90" s="20">
        <f>SUMIFS(BasilRadata[8E. Oppgi antall årsverk barnehagen har pensjonsforpliktelser for:],'1. BASIL-rådata'!$I$3:$I$500,'X. Satser pensjonstilskudd'!$C90,BasilRadata[År],'0. Oppsett'!$C$8)</f>
        <v>0</v>
      </c>
      <c r="K90" s="30">
        <f>IFERROR(IF(OR(#REF!="",#REF!=""),0,J90*#REF!*#REF!*(1+'0. Oppsett'!$C$11)),0)</f>
        <v>0</v>
      </c>
      <c r="L90" s="95">
        <f t="shared" si="6"/>
        <v>0</v>
      </c>
      <c r="M90" s="31">
        <f t="shared" si="7"/>
        <v>0</v>
      </c>
      <c r="N90" s="32">
        <f>IFERROR(M90*'0. Oppsett'!$C$30,0)</f>
        <v>0</v>
      </c>
      <c r="O90" s="33">
        <v>0</v>
      </c>
      <c r="P90" s="142"/>
      <c r="Q90" s="142"/>
      <c r="R90" s="142"/>
      <c r="S90" s="142">
        <v>0</v>
      </c>
      <c r="T90" s="33">
        <v>0</v>
      </c>
      <c r="U90" s="34">
        <v>0</v>
      </c>
      <c r="V90" s="35">
        <f t="shared" si="8"/>
        <v>0</v>
      </c>
    </row>
    <row r="91" spans="1:22" ht="15.75" thickBot="1" x14ac:dyDescent="0.3">
      <c r="A91" s="17">
        <v>87</v>
      </c>
      <c r="B91" s="150">
        <f>'X. Satser pensjonstilskudd'!B91</f>
        <v>0</v>
      </c>
      <c r="C91" s="18">
        <f>'X. Satser pensjonstilskudd'!C91</f>
        <v>0</v>
      </c>
      <c r="D91" s="18" t="str">
        <f>IFERROR(_xlfn.XLOOKUP($C91,factPensjon[Virksomhetsnr.],factPensjon[Forpliktelser]),"")</f>
        <v/>
      </c>
      <c r="E91" s="19">
        <f>SUMIFS(BasilRadata[Heltidsplasser
0-2],BasilRadata[År],'0. Oppsett'!$C$8,BasilRadata[1B. Organisasjonsnummer:],$C91)</f>
        <v>0</v>
      </c>
      <c r="F91" s="25">
        <f>'4. Selvkost og satser'!$B$54</f>
        <v>288170.9461329499</v>
      </c>
      <c r="G91" s="19">
        <f>SUMIFS(BasilRadata[Heltidsplasser
3-6],BasilRadata[År],'0. Oppsett'!$C$8,BasilRadata[1B. Organisasjonsnummer:],$C91)</f>
        <v>0</v>
      </c>
      <c r="H91" s="25">
        <f>'4. Selvkost og satser'!$B$55</f>
        <v>156604.23359926464</v>
      </c>
      <c r="I91" s="26">
        <f t="shared" si="5"/>
        <v>0</v>
      </c>
      <c r="J91" s="20">
        <f>SUMIFS(BasilRadata[8E. Oppgi antall årsverk barnehagen har pensjonsforpliktelser for:],'1. BASIL-rådata'!$I$3:$I$500,'X. Satser pensjonstilskudd'!$C91,BasilRadata[År],'0. Oppsett'!$C$8)</f>
        <v>0</v>
      </c>
      <c r="K91" s="30">
        <f>IFERROR(IF(OR(#REF!="",#REF!=""),0,J91*#REF!*#REF!*(1+'0. Oppsett'!$C$11)),0)</f>
        <v>0</v>
      </c>
      <c r="L91" s="95">
        <f t="shared" si="6"/>
        <v>0</v>
      </c>
      <c r="M91" s="31">
        <f t="shared" si="7"/>
        <v>0</v>
      </c>
      <c r="N91" s="32">
        <f>IFERROR(M91*'0. Oppsett'!$C$30,0)</f>
        <v>0</v>
      </c>
      <c r="O91" s="33">
        <v>0</v>
      </c>
      <c r="P91" s="142"/>
      <c r="Q91" s="142"/>
      <c r="R91" s="142"/>
      <c r="S91" s="142">
        <v>0</v>
      </c>
      <c r="T91" s="33">
        <v>0</v>
      </c>
      <c r="U91" s="34">
        <v>0</v>
      </c>
      <c r="V91" s="35">
        <f t="shared" si="8"/>
        <v>0</v>
      </c>
    </row>
    <row r="92" spans="1:22" ht="15.75" thickBot="1" x14ac:dyDescent="0.3">
      <c r="A92" s="21">
        <v>88</v>
      </c>
      <c r="B92" s="150">
        <f>'X. Satser pensjonstilskudd'!B92</f>
        <v>0</v>
      </c>
      <c r="C92" s="18">
        <f>'X. Satser pensjonstilskudd'!C92</f>
        <v>0</v>
      </c>
      <c r="D92" s="18" t="str">
        <f>IFERROR(_xlfn.XLOOKUP($C92,factPensjon[Virksomhetsnr.],factPensjon[Forpliktelser]),"")</f>
        <v/>
      </c>
      <c r="E92" s="19">
        <f>SUMIFS(BasilRadata[Heltidsplasser
0-2],BasilRadata[År],'0. Oppsett'!$C$8,BasilRadata[1B. Organisasjonsnummer:],$C92)</f>
        <v>0</v>
      </c>
      <c r="F92" s="25">
        <f>'4. Selvkost og satser'!$B$54</f>
        <v>288170.9461329499</v>
      </c>
      <c r="G92" s="19">
        <f>SUMIFS(BasilRadata[Heltidsplasser
3-6],BasilRadata[År],'0. Oppsett'!$C$8,BasilRadata[1B. Organisasjonsnummer:],$C92)</f>
        <v>0</v>
      </c>
      <c r="H92" s="25">
        <f>'4. Selvkost og satser'!$B$55</f>
        <v>156604.23359926464</v>
      </c>
      <c r="I92" s="26">
        <f t="shared" si="5"/>
        <v>0</v>
      </c>
      <c r="J92" s="20">
        <f>SUMIFS(BasilRadata[8E. Oppgi antall årsverk barnehagen har pensjonsforpliktelser for:],'1. BASIL-rådata'!$I$3:$I$500,'X. Satser pensjonstilskudd'!$C92,BasilRadata[År],'0. Oppsett'!$C$8)</f>
        <v>0</v>
      </c>
      <c r="K92" s="30">
        <f>IFERROR(IF(OR(#REF!="",#REF!=""),0,J92*#REF!*#REF!*(1+'0. Oppsett'!$C$11)),0)</f>
        <v>0</v>
      </c>
      <c r="L92" s="95">
        <f t="shared" si="6"/>
        <v>0</v>
      </c>
      <c r="M92" s="31">
        <f t="shared" si="7"/>
        <v>0</v>
      </c>
      <c r="N92" s="32">
        <f>IFERROR(M92*'0. Oppsett'!$C$30,0)</f>
        <v>0</v>
      </c>
      <c r="O92" s="33">
        <v>0</v>
      </c>
      <c r="P92" s="142"/>
      <c r="Q92" s="142"/>
      <c r="R92" s="142"/>
      <c r="S92" s="142">
        <v>0</v>
      </c>
      <c r="T92" s="33">
        <v>0</v>
      </c>
      <c r="U92" s="34">
        <v>0</v>
      </c>
      <c r="V92" s="35">
        <f t="shared" si="8"/>
        <v>0</v>
      </c>
    </row>
    <row r="93" spans="1:22" ht="15.75" thickBot="1" x14ac:dyDescent="0.3">
      <c r="A93" s="17">
        <v>89</v>
      </c>
      <c r="B93" s="150">
        <f>'X. Satser pensjonstilskudd'!B93</f>
        <v>0</v>
      </c>
      <c r="C93" s="18">
        <f>'X. Satser pensjonstilskudd'!C93</f>
        <v>0</v>
      </c>
      <c r="D93" s="18" t="str">
        <f>IFERROR(_xlfn.XLOOKUP($C93,factPensjon[Virksomhetsnr.],factPensjon[Forpliktelser]),"")</f>
        <v/>
      </c>
      <c r="E93" s="19">
        <f>SUMIFS(BasilRadata[Heltidsplasser
0-2],BasilRadata[År],'0. Oppsett'!$C$8,BasilRadata[1B. Organisasjonsnummer:],$C93)</f>
        <v>0</v>
      </c>
      <c r="F93" s="25">
        <f>'4. Selvkost og satser'!$B$54</f>
        <v>288170.9461329499</v>
      </c>
      <c r="G93" s="19">
        <f>SUMIFS(BasilRadata[Heltidsplasser
3-6],BasilRadata[År],'0. Oppsett'!$C$8,BasilRadata[1B. Organisasjonsnummer:],$C93)</f>
        <v>0</v>
      </c>
      <c r="H93" s="25">
        <f>'4. Selvkost og satser'!$B$55</f>
        <v>156604.23359926464</v>
      </c>
      <c r="I93" s="26">
        <f t="shared" si="5"/>
        <v>0</v>
      </c>
      <c r="J93" s="20">
        <f>SUMIFS(BasilRadata[8E. Oppgi antall årsverk barnehagen har pensjonsforpliktelser for:],'1. BASIL-rådata'!$I$3:$I$500,'X. Satser pensjonstilskudd'!$C93,BasilRadata[År],'0. Oppsett'!$C$8)</f>
        <v>0</v>
      </c>
      <c r="K93" s="30">
        <f>IFERROR(IF(OR(#REF!="",#REF!=""),0,J93*#REF!*#REF!*(1+'0. Oppsett'!$C$11)),0)</f>
        <v>0</v>
      </c>
      <c r="L93" s="95">
        <f t="shared" si="6"/>
        <v>0</v>
      </c>
      <c r="M93" s="31">
        <f t="shared" si="7"/>
        <v>0</v>
      </c>
      <c r="N93" s="32">
        <f>IFERROR(M93*'0. Oppsett'!$C$30,0)</f>
        <v>0</v>
      </c>
      <c r="O93" s="33">
        <v>0</v>
      </c>
      <c r="P93" s="142"/>
      <c r="Q93" s="142"/>
      <c r="R93" s="142"/>
      <c r="S93" s="142">
        <v>0</v>
      </c>
      <c r="T93" s="33">
        <v>0</v>
      </c>
      <c r="U93" s="34">
        <v>0</v>
      </c>
      <c r="V93" s="35">
        <f t="shared" si="8"/>
        <v>0</v>
      </c>
    </row>
    <row r="94" spans="1:22" ht="15.75" thickBot="1" x14ac:dyDescent="0.3">
      <c r="A94" s="21">
        <v>90</v>
      </c>
      <c r="B94" s="150">
        <f>'X. Satser pensjonstilskudd'!B94</f>
        <v>0</v>
      </c>
      <c r="C94" s="18">
        <f>'X. Satser pensjonstilskudd'!C94</f>
        <v>0</v>
      </c>
      <c r="D94" s="18" t="str">
        <f>IFERROR(_xlfn.XLOOKUP($C94,factPensjon[Virksomhetsnr.],factPensjon[Forpliktelser]),"")</f>
        <v/>
      </c>
      <c r="E94" s="19">
        <f>SUMIFS(BasilRadata[Heltidsplasser
0-2],BasilRadata[År],'0. Oppsett'!$C$8,BasilRadata[1B. Organisasjonsnummer:],$C94)</f>
        <v>0</v>
      </c>
      <c r="F94" s="25">
        <f>'4. Selvkost og satser'!$B$54</f>
        <v>288170.9461329499</v>
      </c>
      <c r="G94" s="19">
        <f>SUMIFS(BasilRadata[Heltidsplasser
3-6],BasilRadata[År],'0. Oppsett'!$C$8,BasilRadata[1B. Organisasjonsnummer:],$C94)</f>
        <v>0</v>
      </c>
      <c r="H94" s="25">
        <f>'4. Selvkost og satser'!$B$55</f>
        <v>156604.23359926464</v>
      </c>
      <c r="I94" s="26">
        <f t="shared" si="5"/>
        <v>0</v>
      </c>
      <c r="J94" s="20">
        <f>SUMIFS(BasilRadata[8E. Oppgi antall årsverk barnehagen har pensjonsforpliktelser for:],'1. BASIL-rådata'!$I$3:$I$500,'X. Satser pensjonstilskudd'!$C94,BasilRadata[År],'0. Oppsett'!$C$8)</f>
        <v>0</v>
      </c>
      <c r="K94" s="30">
        <f>IFERROR(IF(OR(#REF!="",#REF!=""),0,J94*#REF!*#REF!*(1+'0. Oppsett'!$C$11)),0)</f>
        <v>0</v>
      </c>
      <c r="L94" s="95">
        <f t="shared" si="6"/>
        <v>0</v>
      </c>
      <c r="M94" s="31">
        <f t="shared" si="7"/>
        <v>0</v>
      </c>
      <c r="N94" s="32">
        <f>IFERROR(M94*'0. Oppsett'!$C$30,0)</f>
        <v>0</v>
      </c>
      <c r="O94" s="33">
        <v>0</v>
      </c>
      <c r="P94" s="142"/>
      <c r="Q94" s="142"/>
      <c r="R94" s="142"/>
      <c r="S94" s="142">
        <v>0</v>
      </c>
      <c r="T94" s="33">
        <v>0</v>
      </c>
      <c r="U94" s="34">
        <v>0</v>
      </c>
      <c r="V94" s="35">
        <f t="shared" si="8"/>
        <v>0</v>
      </c>
    </row>
    <row r="95" spans="1:22" ht="15.75" thickBot="1" x14ac:dyDescent="0.3">
      <c r="A95" s="17">
        <v>91</v>
      </c>
      <c r="B95" s="150">
        <f>'X. Satser pensjonstilskudd'!B95</f>
        <v>0</v>
      </c>
      <c r="C95" s="18">
        <f>'X. Satser pensjonstilskudd'!C95</f>
        <v>0</v>
      </c>
      <c r="D95" s="18" t="str">
        <f>IFERROR(_xlfn.XLOOKUP($C95,factPensjon[Virksomhetsnr.],factPensjon[Forpliktelser]),"")</f>
        <v/>
      </c>
      <c r="E95" s="19">
        <f>SUMIFS(BasilRadata[Heltidsplasser
0-2],BasilRadata[År],'0. Oppsett'!$C$8,BasilRadata[1B. Organisasjonsnummer:],$C95)</f>
        <v>0</v>
      </c>
      <c r="F95" s="25">
        <f>'4. Selvkost og satser'!$B$54</f>
        <v>288170.9461329499</v>
      </c>
      <c r="G95" s="19">
        <f>SUMIFS(BasilRadata[Heltidsplasser
3-6],BasilRadata[År],'0. Oppsett'!$C$8,BasilRadata[1B. Organisasjonsnummer:],$C95)</f>
        <v>0</v>
      </c>
      <c r="H95" s="25">
        <f>'4. Selvkost og satser'!$B$55</f>
        <v>156604.23359926464</v>
      </c>
      <c r="I95" s="26">
        <f t="shared" si="5"/>
        <v>0</v>
      </c>
      <c r="J95" s="20">
        <f>SUMIFS(BasilRadata[8E. Oppgi antall årsverk barnehagen har pensjonsforpliktelser for:],'1. BASIL-rådata'!$I$3:$I$500,'X. Satser pensjonstilskudd'!$C95,BasilRadata[År],'0. Oppsett'!$C$8)</f>
        <v>0</v>
      </c>
      <c r="K95" s="30">
        <f>IFERROR(IF(OR(#REF!="",#REF!=""),0,J95*#REF!*#REF!*(1+'0. Oppsett'!$C$11)),0)</f>
        <v>0</v>
      </c>
      <c r="L95" s="95">
        <f t="shared" si="6"/>
        <v>0</v>
      </c>
      <c r="M95" s="31">
        <f t="shared" si="7"/>
        <v>0</v>
      </c>
      <c r="N95" s="32">
        <f>IFERROR(M95*'0. Oppsett'!$C$30,0)</f>
        <v>0</v>
      </c>
      <c r="O95" s="33">
        <v>0</v>
      </c>
      <c r="P95" s="142"/>
      <c r="Q95" s="142"/>
      <c r="R95" s="142"/>
      <c r="S95" s="142">
        <v>0</v>
      </c>
      <c r="T95" s="33">
        <v>0</v>
      </c>
      <c r="U95" s="34">
        <v>0</v>
      </c>
      <c r="V95" s="35">
        <f t="shared" si="8"/>
        <v>0</v>
      </c>
    </row>
    <row r="96" spans="1:22" ht="15.75" thickBot="1" x14ac:dyDescent="0.3">
      <c r="A96" s="21">
        <v>92</v>
      </c>
      <c r="B96" s="150">
        <f>'X. Satser pensjonstilskudd'!B96</f>
        <v>0</v>
      </c>
      <c r="C96" s="18">
        <f>'X. Satser pensjonstilskudd'!C96</f>
        <v>0</v>
      </c>
      <c r="D96" s="18" t="str">
        <f>IFERROR(_xlfn.XLOOKUP($C96,factPensjon[Virksomhetsnr.],factPensjon[Forpliktelser]),"")</f>
        <v/>
      </c>
      <c r="E96" s="19">
        <f>SUMIFS(BasilRadata[Heltidsplasser
0-2],BasilRadata[År],'0. Oppsett'!$C$8,BasilRadata[1B. Organisasjonsnummer:],$C96)</f>
        <v>0</v>
      </c>
      <c r="F96" s="25">
        <f>'4. Selvkost og satser'!$B$54</f>
        <v>288170.9461329499</v>
      </c>
      <c r="G96" s="19">
        <f>SUMIFS(BasilRadata[Heltidsplasser
3-6],BasilRadata[År],'0. Oppsett'!$C$8,BasilRadata[1B. Organisasjonsnummer:],$C96)</f>
        <v>0</v>
      </c>
      <c r="H96" s="25">
        <f>'4. Selvkost og satser'!$B$55</f>
        <v>156604.23359926464</v>
      </c>
      <c r="I96" s="26">
        <f t="shared" si="5"/>
        <v>0</v>
      </c>
      <c r="J96" s="20">
        <f>SUMIFS(BasilRadata[8E. Oppgi antall årsverk barnehagen har pensjonsforpliktelser for:],'1. BASIL-rådata'!$I$3:$I$500,'X. Satser pensjonstilskudd'!$C96,BasilRadata[År],'0. Oppsett'!$C$8)</f>
        <v>0</v>
      </c>
      <c r="K96" s="30">
        <f>IFERROR(IF(OR(#REF!="",#REF!=""),0,J96*#REF!*#REF!*(1+'0. Oppsett'!$C$11)),0)</f>
        <v>0</v>
      </c>
      <c r="L96" s="95">
        <f t="shared" si="6"/>
        <v>0</v>
      </c>
      <c r="M96" s="31">
        <f t="shared" si="7"/>
        <v>0</v>
      </c>
      <c r="N96" s="32">
        <f>IFERROR(M96*'0. Oppsett'!$C$30,0)</f>
        <v>0</v>
      </c>
      <c r="O96" s="33">
        <v>0</v>
      </c>
      <c r="P96" s="142"/>
      <c r="Q96" s="142"/>
      <c r="R96" s="142"/>
      <c r="S96" s="142">
        <v>0</v>
      </c>
      <c r="T96" s="33">
        <v>0</v>
      </c>
      <c r="U96" s="34">
        <v>0</v>
      </c>
      <c r="V96" s="35">
        <f t="shared" si="8"/>
        <v>0</v>
      </c>
    </row>
    <row r="97" spans="1:22" ht="15.75" thickBot="1" x14ac:dyDescent="0.3">
      <c r="A97" s="17">
        <v>93</v>
      </c>
      <c r="B97" s="150">
        <f>'X. Satser pensjonstilskudd'!B97</f>
        <v>0</v>
      </c>
      <c r="C97" s="18">
        <f>'X. Satser pensjonstilskudd'!C97</f>
        <v>0</v>
      </c>
      <c r="D97" s="18" t="str">
        <f>IFERROR(_xlfn.XLOOKUP($C97,factPensjon[Virksomhetsnr.],factPensjon[Forpliktelser]),"")</f>
        <v/>
      </c>
      <c r="E97" s="19">
        <f>SUMIFS(BasilRadata[Heltidsplasser
0-2],BasilRadata[År],'0. Oppsett'!$C$8,BasilRadata[1B. Organisasjonsnummer:],$C97)</f>
        <v>0</v>
      </c>
      <c r="F97" s="25">
        <f>'4. Selvkost og satser'!$B$54</f>
        <v>288170.9461329499</v>
      </c>
      <c r="G97" s="19">
        <f>SUMIFS(BasilRadata[Heltidsplasser
3-6],BasilRadata[År],'0. Oppsett'!$C$8,BasilRadata[1B. Organisasjonsnummer:],$C97)</f>
        <v>0</v>
      </c>
      <c r="H97" s="25">
        <f>'4. Selvkost og satser'!$B$55</f>
        <v>156604.23359926464</v>
      </c>
      <c r="I97" s="26">
        <f t="shared" si="5"/>
        <v>0</v>
      </c>
      <c r="J97" s="20">
        <f>SUMIFS(BasilRadata[8E. Oppgi antall årsverk barnehagen har pensjonsforpliktelser for:],'1. BASIL-rådata'!$I$3:$I$500,'X. Satser pensjonstilskudd'!$C97,BasilRadata[År],'0. Oppsett'!$C$8)</f>
        <v>0</v>
      </c>
      <c r="K97" s="30">
        <f>IFERROR(IF(OR(#REF!="",#REF!=""),0,J97*#REF!*#REF!*(1+'0. Oppsett'!$C$11)),0)</f>
        <v>0</v>
      </c>
      <c r="L97" s="95">
        <f t="shared" si="6"/>
        <v>0</v>
      </c>
      <c r="M97" s="31">
        <f t="shared" si="7"/>
        <v>0</v>
      </c>
      <c r="N97" s="32">
        <f>IFERROR(M97*'0. Oppsett'!$C$30,0)</f>
        <v>0</v>
      </c>
      <c r="O97" s="33">
        <v>0</v>
      </c>
      <c r="P97" s="142"/>
      <c r="Q97" s="142"/>
      <c r="R97" s="142"/>
      <c r="S97" s="142">
        <v>0</v>
      </c>
      <c r="T97" s="33">
        <v>0</v>
      </c>
      <c r="U97" s="34">
        <v>0</v>
      </c>
      <c r="V97" s="35">
        <f t="shared" si="8"/>
        <v>0</v>
      </c>
    </row>
    <row r="98" spans="1:22" ht="15.75" thickBot="1" x14ac:dyDescent="0.3">
      <c r="A98" s="21">
        <v>94</v>
      </c>
      <c r="B98" s="150">
        <f>'X. Satser pensjonstilskudd'!B98</f>
        <v>0</v>
      </c>
      <c r="C98" s="18">
        <f>'X. Satser pensjonstilskudd'!C98</f>
        <v>0</v>
      </c>
      <c r="D98" s="18" t="str">
        <f>IFERROR(_xlfn.XLOOKUP($C98,factPensjon[Virksomhetsnr.],factPensjon[Forpliktelser]),"")</f>
        <v/>
      </c>
      <c r="E98" s="19">
        <f>SUMIFS(BasilRadata[Heltidsplasser
0-2],BasilRadata[År],'0. Oppsett'!$C$8,BasilRadata[1B. Organisasjonsnummer:],$C98)</f>
        <v>0</v>
      </c>
      <c r="F98" s="25">
        <f>'4. Selvkost og satser'!$B$54</f>
        <v>288170.9461329499</v>
      </c>
      <c r="G98" s="19">
        <f>SUMIFS(BasilRadata[Heltidsplasser
3-6],BasilRadata[År],'0. Oppsett'!$C$8,BasilRadata[1B. Organisasjonsnummer:],$C98)</f>
        <v>0</v>
      </c>
      <c r="H98" s="25">
        <f>'4. Selvkost og satser'!$B$55</f>
        <v>156604.23359926464</v>
      </c>
      <c r="I98" s="26">
        <f t="shared" si="5"/>
        <v>0</v>
      </c>
      <c r="J98" s="20">
        <f>SUMIFS(BasilRadata[8E. Oppgi antall årsverk barnehagen har pensjonsforpliktelser for:],'1. BASIL-rådata'!$I$3:$I$500,'X. Satser pensjonstilskudd'!$C98,BasilRadata[År],'0. Oppsett'!$C$8)</f>
        <v>0</v>
      </c>
      <c r="K98" s="30">
        <f>IFERROR(IF(OR(#REF!="",#REF!=""),0,J98*#REF!*#REF!*(1+'0. Oppsett'!$C$11)),0)</f>
        <v>0</v>
      </c>
      <c r="L98" s="95">
        <f t="shared" si="6"/>
        <v>0</v>
      </c>
      <c r="M98" s="31">
        <f t="shared" si="7"/>
        <v>0</v>
      </c>
      <c r="N98" s="32">
        <f>IFERROR(M98*'0. Oppsett'!$C$30,0)</f>
        <v>0</v>
      </c>
      <c r="O98" s="33">
        <v>0</v>
      </c>
      <c r="P98" s="142"/>
      <c r="Q98" s="142"/>
      <c r="R98" s="142"/>
      <c r="S98" s="142">
        <v>0</v>
      </c>
      <c r="T98" s="33">
        <v>0</v>
      </c>
      <c r="U98" s="34">
        <v>0</v>
      </c>
      <c r="V98" s="35">
        <f t="shared" si="8"/>
        <v>0</v>
      </c>
    </row>
    <row r="99" spans="1:22" ht="15.75" thickBot="1" x14ac:dyDescent="0.3">
      <c r="A99" s="17">
        <v>95</v>
      </c>
      <c r="B99" s="150">
        <f>'X. Satser pensjonstilskudd'!B99</f>
        <v>0</v>
      </c>
      <c r="C99" s="18">
        <f>'X. Satser pensjonstilskudd'!C99</f>
        <v>0</v>
      </c>
      <c r="D99" s="18" t="str">
        <f>IFERROR(_xlfn.XLOOKUP($C99,factPensjon[Virksomhetsnr.],factPensjon[Forpliktelser]),"")</f>
        <v/>
      </c>
      <c r="E99" s="19">
        <f>SUMIFS(BasilRadata[Heltidsplasser
0-2],BasilRadata[År],'0. Oppsett'!$C$8,BasilRadata[1B. Organisasjonsnummer:],$C99)</f>
        <v>0</v>
      </c>
      <c r="F99" s="25">
        <f>'4. Selvkost og satser'!$B$54</f>
        <v>288170.9461329499</v>
      </c>
      <c r="G99" s="19">
        <f>SUMIFS(BasilRadata[Heltidsplasser
3-6],BasilRadata[År],'0. Oppsett'!$C$8,BasilRadata[1B. Organisasjonsnummer:],$C99)</f>
        <v>0</v>
      </c>
      <c r="H99" s="25">
        <f>'4. Selvkost og satser'!$B$55</f>
        <v>156604.23359926464</v>
      </c>
      <c r="I99" s="26">
        <f t="shared" si="5"/>
        <v>0</v>
      </c>
      <c r="J99" s="20">
        <f>SUMIFS(BasilRadata[8E. Oppgi antall årsverk barnehagen har pensjonsforpliktelser for:],'1. BASIL-rådata'!$I$3:$I$500,'X. Satser pensjonstilskudd'!$C99,BasilRadata[År],'0. Oppsett'!$C$8)</f>
        <v>0</v>
      </c>
      <c r="K99" s="30">
        <f>IFERROR(IF(OR(#REF!="",#REF!=""),0,J99*#REF!*#REF!*(1+'0. Oppsett'!$C$11)),0)</f>
        <v>0</v>
      </c>
      <c r="L99" s="95">
        <f t="shared" si="6"/>
        <v>0</v>
      </c>
      <c r="M99" s="31">
        <f t="shared" si="7"/>
        <v>0</v>
      </c>
      <c r="N99" s="32">
        <f>IFERROR(M99*'0. Oppsett'!$C$30,0)</f>
        <v>0</v>
      </c>
      <c r="O99" s="33">
        <v>0</v>
      </c>
      <c r="P99" s="142"/>
      <c r="Q99" s="142"/>
      <c r="R99" s="142"/>
      <c r="S99" s="142">
        <v>0</v>
      </c>
      <c r="T99" s="33">
        <v>0</v>
      </c>
      <c r="U99" s="34">
        <v>0</v>
      </c>
      <c r="V99" s="35">
        <f t="shared" si="8"/>
        <v>0</v>
      </c>
    </row>
    <row r="100" spans="1:22" ht="15.75" thickBot="1" x14ac:dyDescent="0.3">
      <c r="A100" s="21">
        <v>96</v>
      </c>
      <c r="B100" s="150">
        <f>'X. Satser pensjonstilskudd'!B100</f>
        <v>0</v>
      </c>
      <c r="C100" s="18">
        <f>'X. Satser pensjonstilskudd'!C100</f>
        <v>0</v>
      </c>
      <c r="D100" s="18" t="str">
        <f>IFERROR(_xlfn.XLOOKUP($C100,factPensjon[Virksomhetsnr.],factPensjon[Forpliktelser]),"")</f>
        <v/>
      </c>
      <c r="E100" s="19">
        <f>SUMIFS(BasilRadata[Heltidsplasser
0-2],BasilRadata[År],'0. Oppsett'!$C$8,BasilRadata[1B. Organisasjonsnummer:],$C100)</f>
        <v>0</v>
      </c>
      <c r="F100" s="25">
        <f>'4. Selvkost og satser'!$B$54</f>
        <v>288170.9461329499</v>
      </c>
      <c r="G100" s="19">
        <f>SUMIFS(BasilRadata[Heltidsplasser
3-6],BasilRadata[År],'0. Oppsett'!$C$8,BasilRadata[1B. Organisasjonsnummer:],$C100)</f>
        <v>0</v>
      </c>
      <c r="H100" s="25">
        <f>'4. Selvkost og satser'!$B$55</f>
        <v>156604.23359926464</v>
      </c>
      <c r="I100" s="26">
        <f t="shared" si="5"/>
        <v>0</v>
      </c>
      <c r="J100" s="20">
        <f>SUMIFS(BasilRadata[8E. Oppgi antall årsverk barnehagen har pensjonsforpliktelser for:],'1. BASIL-rådata'!$I$3:$I$500,'X. Satser pensjonstilskudd'!$C100,BasilRadata[År],'0. Oppsett'!$C$8)</f>
        <v>0</v>
      </c>
      <c r="K100" s="30">
        <f>IFERROR(IF(OR(#REF!="",#REF!=""),0,J100*#REF!*#REF!*(1+'0. Oppsett'!$C$11)),0)</f>
        <v>0</v>
      </c>
      <c r="L100" s="95">
        <f t="shared" si="6"/>
        <v>0</v>
      </c>
      <c r="M100" s="31">
        <f t="shared" si="7"/>
        <v>0</v>
      </c>
      <c r="N100" s="32">
        <f>IFERROR(M100*'0. Oppsett'!$C$30,0)</f>
        <v>0</v>
      </c>
      <c r="O100" s="33">
        <v>0</v>
      </c>
      <c r="P100" s="142"/>
      <c r="Q100" s="142"/>
      <c r="R100" s="142"/>
      <c r="S100" s="142">
        <v>0</v>
      </c>
      <c r="T100" s="33">
        <v>0</v>
      </c>
      <c r="U100" s="34">
        <v>0</v>
      </c>
      <c r="V100" s="35">
        <f t="shared" si="8"/>
        <v>0</v>
      </c>
    </row>
    <row r="101" spans="1:22" ht="15.75" thickBot="1" x14ac:dyDescent="0.3">
      <c r="A101" s="17">
        <v>97</v>
      </c>
      <c r="B101" s="150">
        <f>'X. Satser pensjonstilskudd'!B101</f>
        <v>0</v>
      </c>
      <c r="C101" s="18">
        <f>'X. Satser pensjonstilskudd'!C101</f>
        <v>0</v>
      </c>
      <c r="D101" s="18" t="str">
        <f>IFERROR(_xlfn.XLOOKUP($C101,factPensjon[Virksomhetsnr.],factPensjon[Forpliktelser]),"")</f>
        <v/>
      </c>
      <c r="E101" s="19">
        <f>SUMIFS(BasilRadata[Heltidsplasser
0-2],BasilRadata[År],'0. Oppsett'!$C$8,BasilRadata[1B. Organisasjonsnummer:],$C101)</f>
        <v>0</v>
      </c>
      <c r="F101" s="25">
        <f>'4. Selvkost og satser'!$B$54</f>
        <v>288170.9461329499</v>
      </c>
      <c r="G101" s="19">
        <f>SUMIFS(BasilRadata[Heltidsplasser
3-6],BasilRadata[År],'0. Oppsett'!$C$8,BasilRadata[1B. Organisasjonsnummer:],$C101)</f>
        <v>0</v>
      </c>
      <c r="H101" s="25">
        <f>'4. Selvkost og satser'!$B$55</f>
        <v>156604.23359926464</v>
      </c>
      <c r="I101" s="26">
        <f t="shared" si="5"/>
        <v>0</v>
      </c>
      <c r="J101" s="20">
        <f>SUMIFS(BasilRadata[8E. Oppgi antall årsverk barnehagen har pensjonsforpliktelser for:],'1. BASIL-rådata'!$I$3:$I$500,'X. Satser pensjonstilskudd'!$C101,BasilRadata[År],'0. Oppsett'!$C$8)</f>
        <v>0</v>
      </c>
      <c r="K101" s="30">
        <f>IFERROR(IF(OR(#REF!="",#REF!=""),0,J101*#REF!*#REF!*(1+'0. Oppsett'!$C$11)),0)</f>
        <v>0</v>
      </c>
      <c r="L101" s="95">
        <f t="shared" si="6"/>
        <v>0</v>
      </c>
      <c r="M101" s="31">
        <f t="shared" si="7"/>
        <v>0</v>
      </c>
      <c r="N101" s="32">
        <f>IFERROR(M101*'0. Oppsett'!$C$30,0)</f>
        <v>0</v>
      </c>
      <c r="O101" s="33">
        <v>0</v>
      </c>
      <c r="P101" s="142"/>
      <c r="Q101" s="142"/>
      <c r="R101" s="142"/>
      <c r="S101" s="142">
        <v>0</v>
      </c>
      <c r="T101" s="33">
        <v>0</v>
      </c>
      <c r="U101" s="34">
        <v>0</v>
      </c>
      <c r="V101" s="35">
        <f t="shared" si="8"/>
        <v>0</v>
      </c>
    </row>
    <row r="102" spans="1:22" ht="15.75" thickBot="1" x14ac:dyDescent="0.3">
      <c r="A102" s="21">
        <v>98</v>
      </c>
      <c r="B102" s="150">
        <f>'X. Satser pensjonstilskudd'!B102</f>
        <v>0</v>
      </c>
      <c r="C102" s="18">
        <f>'X. Satser pensjonstilskudd'!C102</f>
        <v>0</v>
      </c>
      <c r="D102" s="18" t="str">
        <f>IFERROR(_xlfn.XLOOKUP($C102,factPensjon[Virksomhetsnr.],factPensjon[Forpliktelser]),"")</f>
        <v/>
      </c>
      <c r="E102" s="19">
        <f>SUMIFS(BasilRadata[Heltidsplasser
0-2],BasilRadata[År],'0. Oppsett'!$C$8,BasilRadata[1B. Organisasjonsnummer:],$C102)</f>
        <v>0</v>
      </c>
      <c r="F102" s="25">
        <f>'4. Selvkost og satser'!$B$54</f>
        <v>288170.9461329499</v>
      </c>
      <c r="G102" s="19">
        <f>SUMIFS(BasilRadata[Heltidsplasser
3-6],BasilRadata[År],'0. Oppsett'!$C$8,BasilRadata[1B. Organisasjonsnummer:],$C102)</f>
        <v>0</v>
      </c>
      <c r="H102" s="25">
        <f>'4. Selvkost og satser'!$B$55</f>
        <v>156604.23359926464</v>
      </c>
      <c r="I102" s="26">
        <f t="shared" si="5"/>
        <v>0</v>
      </c>
      <c r="J102" s="20">
        <f>SUMIFS(BasilRadata[8E. Oppgi antall årsverk barnehagen har pensjonsforpliktelser for:],'1. BASIL-rådata'!$I$3:$I$500,'X. Satser pensjonstilskudd'!$C102,BasilRadata[År],'0. Oppsett'!$C$8)</f>
        <v>0</v>
      </c>
      <c r="K102" s="30">
        <f>IFERROR(IF(OR(#REF!="",#REF!=""),0,J102*#REF!*#REF!*(1+'0. Oppsett'!$C$11)),0)</f>
        <v>0</v>
      </c>
      <c r="L102" s="95">
        <f t="shared" si="6"/>
        <v>0</v>
      </c>
      <c r="M102" s="31">
        <f t="shared" si="7"/>
        <v>0</v>
      </c>
      <c r="N102" s="32">
        <f>IFERROR(M102*'0. Oppsett'!$C$30,0)</f>
        <v>0</v>
      </c>
      <c r="O102" s="33">
        <v>0</v>
      </c>
      <c r="P102" s="142"/>
      <c r="Q102" s="142"/>
      <c r="R102" s="142"/>
      <c r="S102" s="142">
        <v>0</v>
      </c>
      <c r="T102" s="33">
        <v>0</v>
      </c>
      <c r="U102" s="34">
        <v>0</v>
      </c>
      <c r="V102" s="35">
        <f t="shared" si="8"/>
        <v>0</v>
      </c>
    </row>
    <row r="103" spans="1:22" ht="15.75" thickBot="1" x14ac:dyDescent="0.3">
      <c r="A103" s="17">
        <v>99</v>
      </c>
      <c r="B103" s="150">
        <f>'X. Satser pensjonstilskudd'!B103</f>
        <v>0</v>
      </c>
      <c r="C103" s="18">
        <f>'X. Satser pensjonstilskudd'!C103</f>
        <v>0</v>
      </c>
      <c r="D103" s="18" t="str">
        <f>IFERROR(_xlfn.XLOOKUP($C103,factPensjon[Virksomhetsnr.],factPensjon[Forpliktelser]),"")</f>
        <v/>
      </c>
      <c r="E103" s="19">
        <f>SUMIFS(BasilRadata[Heltidsplasser
0-2],BasilRadata[År],'0. Oppsett'!$C$8,BasilRadata[1B. Organisasjonsnummer:],$C103)</f>
        <v>0</v>
      </c>
      <c r="F103" s="25">
        <f>'4. Selvkost og satser'!$B$54</f>
        <v>288170.9461329499</v>
      </c>
      <c r="G103" s="19">
        <f>SUMIFS(BasilRadata[Heltidsplasser
3-6],BasilRadata[År],'0. Oppsett'!$C$8,BasilRadata[1B. Organisasjonsnummer:],$C103)</f>
        <v>0</v>
      </c>
      <c r="H103" s="25">
        <f>'4. Selvkost og satser'!$B$55</f>
        <v>156604.23359926464</v>
      </c>
      <c r="I103" s="26">
        <f t="shared" si="5"/>
        <v>0</v>
      </c>
      <c r="J103" s="20">
        <f>SUMIFS(BasilRadata[8E. Oppgi antall årsverk barnehagen har pensjonsforpliktelser for:],'1. BASIL-rådata'!$I$3:$I$500,'X. Satser pensjonstilskudd'!$C103,BasilRadata[År],'0. Oppsett'!$C$8)</f>
        <v>0</v>
      </c>
      <c r="K103" s="30">
        <f>IFERROR(IF(OR(#REF!="",#REF!=""),0,J103*#REF!*#REF!*(1+'0. Oppsett'!$C$11)),0)</f>
        <v>0</v>
      </c>
      <c r="L103" s="95">
        <f t="shared" si="6"/>
        <v>0</v>
      </c>
      <c r="M103" s="31">
        <f t="shared" si="7"/>
        <v>0</v>
      </c>
      <c r="N103" s="32">
        <f>IFERROR(M103*'0. Oppsett'!$C$30,0)</f>
        <v>0</v>
      </c>
      <c r="O103" s="33">
        <v>0</v>
      </c>
      <c r="P103" s="142"/>
      <c r="Q103" s="142"/>
      <c r="R103" s="142"/>
      <c r="S103" s="142">
        <v>0</v>
      </c>
      <c r="T103" s="33">
        <v>0</v>
      </c>
      <c r="U103" s="34">
        <v>0</v>
      </c>
      <c r="V103" s="35">
        <f t="shared" si="8"/>
        <v>0</v>
      </c>
    </row>
    <row r="104" spans="1:22" ht="15.75" thickBot="1" x14ac:dyDescent="0.3">
      <c r="A104" s="21">
        <v>100</v>
      </c>
      <c r="B104" s="150">
        <f>'X. Satser pensjonstilskudd'!B104</f>
        <v>0</v>
      </c>
      <c r="C104" s="18">
        <f>'X. Satser pensjonstilskudd'!C104</f>
        <v>0</v>
      </c>
      <c r="D104" s="18" t="str">
        <f>IFERROR(_xlfn.XLOOKUP($C104,factPensjon[Virksomhetsnr.],factPensjon[Forpliktelser]),"")</f>
        <v/>
      </c>
      <c r="E104" s="19">
        <f>SUMIFS(BasilRadata[Heltidsplasser
0-2],BasilRadata[År],'0. Oppsett'!$C$8,BasilRadata[1B. Organisasjonsnummer:],$C104)</f>
        <v>0</v>
      </c>
      <c r="F104" s="25">
        <f>'4. Selvkost og satser'!$B$54</f>
        <v>288170.9461329499</v>
      </c>
      <c r="G104" s="19">
        <f>SUMIFS(BasilRadata[Heltidsplasser
3-6],BasilRadata[År],'0. Oppsett'!$C$8,BasilRadata[1B. Organisasjonsnummer:],$C104)</f>
        <v>0</v>
      </c>
      <c r="H104" s="25">
        <f>'4. Selvkost og satser'!$B$55</f>
        <v>156604.23359926464</v>
      </c>
      <c r="I104" s="26">
        <f t="shared" si="5"/>
        <v>0</v>
      </c>
      <c r="J104" s="20">
        <f>SUMIFS(BasilRadata[8E. Oppgi antall årsverk barnehagen har pensjonsforpliktelser for:],'1. BASIL-rådata'!$I$3:$I$500,'X. Satser pensjonstilskudd'!$C104,BasilRadata[År],'0. Oppsett'!$C$8)</f>
        <v>0</v>
      </c>
      <c r="K104" s="30">
        <f>IFERROR(IF(OR(#REF!="",#REF!=""),0,J104*#REF!*#REF!*(1+'0. Oppsett'!$C$11)),0)</f>
        <v>0</v>
      </c>
      <c r="L104" s="95">
        <f t="shared" si="6"/>
        <v>0</v>
      </c>
      <c r="M104" s="31">
        <f t="shared" si="7"/>
        <v>0</v>
      </c>
      <c r="N104" s="32">
        <f>IFERROR(M104*'0. Oppsett'!$C$30,0)</f>
        <v>0</v>
      </c>
      <c r="O104" s="33">
        <v>0</v>
      </c>
      <c r="P104" s="142"/>
      <c r="Q104" s="142"/>
      <c r="R104" s="142"/>
      <c r="S104" s="142">
        <v>0</v>
      </c>
      <c r="T104" s="33">
        <v>0</v>
      </c>
      <c r="U104" s="34">
        <v>0</v>
      </c>
      <c r="V104" s="35">
        <f t="shared" si="8"/>
        <v>0</v>
      </c>
    </row>
    <row r="105" spans="1:22" ht="15.75" thickBot="1" x14ac:dyDescent="0.3">
      <c r="A105" s="17">
        <v>101</v>
      </c>
      <c r="B105" s="150">
        <f>'X. Satser pensjonstilskudd'!B105</f>
        <v>0</v>
      </c>
      <c r="C105" s="18">
        <f>'X. Satser pensjonstilskudd'!C105</f>
        <v>0</v>
      </c>
      <c r="D105" s="18" t="str">
        <f>IFERROR(_xlfn.XLOOKUP($C105,factPensjon[Virksomhetsnr.],factPensjon[Forpliktelser]),"")</f>
        <v/>
      </c>
      <c r="E105" s="19">
        <f>SUMIFS(BasilRadata[Heltidsplasser
0-2],BasilRadata[År],'0. Oppsett'!$C$8,BasilRadata[1B. Organisasjonsnummer:],$C105)</f>
        <v>0</v>
      </c>
      <c r="F105" s="25">
        <f>'4. Selvkost og satser'!$B$54</f>
        <v>288170.9461329499</v>
      </c>
      <c r="G105" s="19">
        <f>SUMIFS(BasilRadata[Heltidsplasser
3-6],BasilRadata[År],'0. Oppsett'!$C$8,BasilRadata[1B. Organisasjonsnummer:],$C105)</f>
        <v>0</v>
      </c>
      <c r="H105" s="25">
        <f>'4. Selvkost og satser'!$B$55</f>
        <v>156604.23359926464</v>
      </c>
      <c r="I105" s="26">
        <f t="shared" si="5"/>
        <v>0</v>
      </c>
      <c r="J105" s="20">
        <f>SUMIFS(BasilRadata[8E. Oppgi antall årsverk barnehagen har pensjonsforpliktelser for:],'1. BASIL-rådata'!$I$3:$I$500,'X. Satser pensjonstilskudd'!$C105,BasilRadata[År],'0. Oppsett'!$C$8)</f>
        <v>0</v>
      </c>
      <c r="K105" s="30">
        <f>IFERROR(IF(OR(#REF!="",#REF!=""),0,J105*#REF!*#REF!*(1+'0. Oppsett'!$C$11)),0)</f>
        <v>0</v>
      </c>
      <c r="L105" s="95">
        <f t="shared" si="6"/>
        <v>0</v>
      </c>
      <c r="M105" s="31">
        <f t="shared" si="7"/>
        <v>0</v>
      </c>
      <c r="N105" s="32">
        <f>IFERROR(M105*'0. Oppsett'!$C$30,0)</f>
        <v>0</v>
      </c>
      <c r="O105" s="33">
        <v>0</v>
      </c>
      <c r="P105" s="142"/>
      <c r="Q105" s="142"/>
      <c r="R105" s="142"/>
      <c r="S105" s="142">
        <v>0</v>
      </c>
      <c r="T105" s="33">
        <v>0</v>
      </c>
      <c r="U105" s="34">
        <v>0</v>
      </c>
      <c r="V105" s="35">
        <f t="shared" si="8"/>
        <v>0</v>
      </c>
    </row>
    <row r="106" spans="1:22" ht="15.75" thickBot="1" x14ac:dyDescent="0.3">
      <c r="A106" s="21">
        <v>102</v>
      </c>
      <c r="B106" s="150">
        <f>'X. Satser pensjonstilskudd'!B106</f>
        <v>0</v>
      </c>
      <c r="C106" s="18">
        <f>'X. Satser pensjonstilskudd'!C106</f>
        <v>0</v>
      </c>
      <c r="D106" s="18" t="str">
        <f>IFERROR(_xlfn.XLOOKUP($C106,factPensjon[Virksomhetsnr.],factPensjon[Forpliktelser]),"")</f>
        <v/>
      </c>
      <c r="E106" s="19">
        <f>SUMIFS(BasilRadata[Heltidsplasser
0-2],BasilRadata[År],'0. Oppsett'!$C$8,BasilRadata[1B. Organisasjonsnummer:],$C106)</f>
        <v>0</v>
      </c>
      <c r="F106" s="25">
        <f>'4. Selvkost og satser'!$B$54</f>
        <v>288170.9461329499</v>
      </c>
      <c r="G106" s="19">
        <f>SUMIFS(BasilRadata[Heltidsplasser
3-6],BasilRadata[År],'0. Oppsett'!$C$8,BasilRadata[1B. Organisasjonsnummer:],$C106)</f>
        <v>0</v>
      </c>
      <c r="H106" s="25">
        <f>'4. Selvkost og satser'!$B$55</f>
        <v>156604.23359926464</v>
      </c>
      <c r="I106" s="26">
        <f t="shared" si="5"/>
        <v>0</v>
      </c>
      <c r="J106" s="20">
        <f>SUMIFS(BasilRadata[8E. Oppgi antall årsverk barnehagen har pensjonsforpliktelser for:],'1. BASIL-rådata'!$I$3:$I$500,'X. Satser pensjonstilskudd'!$C106,BasilRadata[År],'0. Oppsett'!$C$8)</f>
        <v>0</v>
      </c>
      <c r="K106" s="30">
        <f>IFERROR(IF(OR(#REF!="",#REF!=""),0,J106*#REF!*#REF!*(1+'0. Oppsett'!$C$11)),0)</f>
        <v>0</v>
      </c>
      <c r="L106" s="95">
        <f t="shared" si="6"/>
        <v>0</v>
      </c>
      <c r="M106" s="31">
        <f t="shared" si="7"/>
        <v>0</v>
      </c>
      <c r="N106" s="32">
        <f>IFERROR(M106*'0. Oppsett'!$C$30,0)</f>
        <v>0</v>
      </c>
      <c r="O106" s="33">
        <v>0</v>
      </c>
      <c r="P106" s="142"/>
      <c r="Q106" s="142"/>
      <c r="R106" s="142"/>
      <c r="S106" s="142">
        <v>0</v>
      </c>
      <c r="T106" s="33">
        <v>0</v>
      </c>
      <c r="U106" s="34">
        <v>0</v>
      </c>
      <c r="V106" s="35">
        <f t="shared" si="8"/>
        <v>0</v>
      </c>
    </row>
    <row r="107" spans="1:22" ht="15.75" thickBot="1" x14ac:dyDescent="0.3">
      <c r="A107" s="17">
        <v>103</v>
      </c>
      <c r="B107" s="150">
        <f>'X. Satser pensjonstilskudd'!B107</f>
        <v>0</v>
      </c>
      <c r="C107" s="18">
        <f>'X. Satser pensjonstilskudd'!C107</f>
        <v>0</v>
      </c>
      <c r="D107" s="18" t="str">
        <f>IFERROR(_xlfn.XLOOKUP($C107,factPensjon[Virksomhetsnr.],factPensjon[Forpliktelser]),"")</f>
        <v/>
      </c>
      <c r="E107" s="19">
        <f>SUMIFS(BasilRadata[Heltidsplasser
0-2],BasilRadata[År],'0. Oppsett'!$C$8,BasilRadata[1B. Organisasjonsnummer:],$C107)</f>
        <v>0</v>
      </c>
      <c r="F107" s="25">
        <f>'4. Selvkost og satser'!$B$54</f>
        <v>288170.9461329499</v>
      </c>
      <c r="G107" s="19">
        <f>SUMIFS(BasilRadata[Heltidsplasser
3-6],BasilRadata[År],'0. Oppsett'!$C$8,BasilRadata[1B. Organisasjonsnummer:],$C107)</f>
        <v>0</v>
      </c>
      <c r="H107" s="25">
        <f>'4. Selvkost og satser'!$B$55</f>
        <v>156604.23359926464</v>
      </c>
      <c r="I107" s="26">
        <f t="shared" si="5"/>
        <v>0</v>
      </c>
      <c r="J107" s="20">
        <f>SUMIFS(BasilRadata[8E. Oppgi antall årsverk barnehagen har pensjonsforpliktelser for:],'1. BASIL-rådata'!$I$3:$I$500,'X. Satser pensjonstilskudd'!$C107,BasilRadata[År],'0. Oppsett'!$C$8)</f>
        <v>0</v>
      </c>
      <c r="K107" s="30">
        <f>IFERROR(IF(OR(#REF!="",#REF!=""),0,J107*#REF!*#REF!*(1+'0. Oppsett'!$C$11)),0)</f>
        <v>0</v>
      </c>
      <c r="L107" s="95">
        <f t="shared" si="6"/>
        <v>0</v>
      </c>
      <c r="M107" s="31">
        <f t="shared" si="7"/>
        <v>0</v>
      </c>
      <c r="N107" s="32">
        <f>IFERROR(M107*'0. Oppsett'!$C$30,0)</f>
        <v>0</v>
      </c>
      <c r="O107" s="33">
        <v>0</v>
      </c>
      <c r="P107" s="142"/>
      <c r="Q107" s="142"/>
      <c r="R107" s="142"/>
      <c r="S107" s="142">
        <v>0</v>
      </c>
      <c r="T107" s="33">
        <v>0</v>
      </c>
      <c r="U107" s="34">
        <v>0</v>
      </c>
      <c r="V107" s="35">
        <f t="shared" si="8"/>
        <v>0</v>
      </c>
    </row>
    <row r="108" spans="1:22" ht="15.75" thickBot="1" x14ac:dyDescent="0.3">
      <c r="A108" s="21">
        <v>104</v>
      </c>
      <c r="B108" s="150">
        <f>'X. Satser pensjonstilskudd'!B108</f>
        <v>0</v>
      </c>
      <c r="C108" s="18">
        <f>'X. Satser pensjonstilskudd'!C108</f>
        <v>0</v>
      </c>
      <c r="D108" s="18" t="str">
        <f>IFERROR(_xlfn.XLOOKUP($C108,factPensjon[Virksomhetsnr.],factPensjon[Forpliktelser]),"")</f>
        <v/>
      </c>
      <c r="E108" s="19">
        <f>SUMIFS(BasilRadata[Heltidsplasser
0-2],BasilRadata[År],'0. Oppsett'!$C$8,BasilRadata[1B. Organisasjonsnummer:],$C108)</f>
        <v>0</v>
      </c>
      <c r="F108" s="25">
        <f>'4. Selvkost og satser'!$B$54</f>
        <v>288170.9461329499</v>
      </c>
      <c r="G108" s="19">
        <f>SUMIFS(BasilRadata[Heltidsplasser
3-6],BasilRadata[År],'0. Oppsett'!$C$8,BasilRadata[1B. Organisasjonsnummer:],$C108)</f>
        <v>0</v>
      </c>
      <c r="H108" s="25">
        <f>'4. Selvkost og satser'!$B$55</f>
        <v>156604.23359926464</v>
      </c>
      <c r="I108" s="26">
        <f t="shared" si="5"/>
        <v>0</v>
      </c>
      <c r="J108" s="20">
        <f>SUMIFS(BasilRadata[8E. Oppgi antall årsverk barnehagen har pensjonsforpliktelser for:],'1. BASIL-rådata'!$I$3:$I$500,'X. Satser pensjonstilskudd'!$C108,BasilRadata[År],'0. Oppsett'!$C$8)</f>
        <v>0</v>
      </c>
      <c r="K108" s="30">
        <f>IFERROR(IF(OR(#REF!="",#REF!=""),0,J108*#REF!*#REF!*(1+'0. Oppsett'!$C$11)),0)</f>
        <v>0</v>
      </c>
      <c r="L108" s="95">
        <f t="shared" si="6"/>
        <v>0</v>
      </c>
      <c r="M108" s="31">
        <f t="shared" si="7"/>
        <v>0</v>
      </c>
      <c r="N108" s="32">
        <f>IFERROR(M108*'0. Oppsett'!$C$30,0)</f>
        <v>0</v>
      </c>
      <c r="O108" s="33">
        <v>0</v>
      </c>
      <c r="P108" s="142"/>
      <c r="Q108" s="142"/>
      <c r="R108" s="142"/>
      <c r="S108" s="142">
        <v>0</v>
      </c>
      <c r="T108" s="33">
        <v>0</v>
      </c>
      <c r="U108" s="34">
        <v>0</v>
      </c>
      <c r="V108" s="35">
        <f t="shared" si="8"/>
        <v>0</v>
      </c>
    </row>
    <row r="109" spans="1:22" ht="15.75" thickBot="1" x14ac:dyDescent="0.3">
      <c r="A109" s="17">
        <v>105</v>
      </c>
      <c r="B109" s="150">
        <f>'X. Satser pensjonstilskudd'!B109</f>
        <v>0</v>
      </c>
      <c r="C109" s="18">
        <f>'X. Satser pensjonstilskudd'!C109</f>
        <v>0</v>
      </c>
      <c r="D109" s="18" t="str">
        <f>IFERROR(_xlfn.XLOOKUP($C109,factPensjon[Virksomhetsnr.],factPensjon[Forpliktelser]),"")</f>
        <v/>
      </c>
      <c r="E109" s="19">
        <f>SUMIFS(BasilRadata[Heltidsplasser
0-2],BasilRadata[År],'0. Oppsett'!$C$8,BasilRadata[1B. Organisasjonsnummer:],$C109)</f>
        <v>0</v>
      </c>
      <c r="F109" s="25">
        <f>'4. Selvkost og satser'!$B$54</f>
        <v>288170.9461329499</v>
      </c>
      <c r="G109" s="19">
        <f>SUMIFS(BasilRadata[Heltidsplasser
3-6],BasilRadata[År],'0. Oppsett'!$C$8,BasilRadata[1B. Organisasjonsnummer:],$C109)</f>
        <v>0</v>
      </c>
      <c r="H109" s="25">
        <f>'4. Selvkost og satser'!$B$55</f>
        <v>156604.23359926464</v>
      </c>
      <c r="I109" s="26">
        <f t="shared" si="5"/>
        <v>0</v>
      </c>
      <c r="J109" s="20">
        <f>SUMIFS(BasilRadata[8E. Oppgi antall årsverk barnehagen har pensjonsforpliktelser for:],'1. BASIL-rådata'!$I$3:$I$500,'X. Satser pensjonstilskudd'!$C109,BasilRadata[År],'0. Oppsett'!$C$8)</f>
        <v>0</v>
      </c>
      <c r="K109" s="30">
        <f>IFERROR(IF(OR(#REF!="",#REF!=""),0,J109*#REF!*#REF!*(1+'0. Oppsett'!$C$11)),0)</f>
        <v>0</v>
      </c>
      <c r="L109" s="95">
        <f t="shared" si="6"/>
        <v>0</v>
      </c>
      <c r="M109" s="31">
        <f t="shared" si="7"/>
        <v>0</v>
      </c>
      <c r="N109" s="32">
        <f>IFERROR(M109*'0. Oppsett'!$C$30,0)</f>
        <v>0</v>
      </c>
      <c r="O109" s="33">
        <v>0</v>
      </c>
      <c r="P109" s="142"/>
      <c r="Q109" s="142"/>
      <c r="R109" s="142"/>
      <c r="S109" s="142">
        <v>0</v>
      </c>
      <c r="T109" s="33">
        <v>0</v>
      </c>
      <c r="U109" s="34">
        <v>0</v>
      </c>
      <c r="V109" s="35">
        <f t="shared" si="8"/>
        <v>0</v>
      </c>
    </row>
    <row r="110" spans="1:22" ht="15.75" thickBot="1" x14ac:dyDescent="0.3">
      <c r="A110" s="21">
        <v>106</v>
      </c>
      <c r="B110" s="150">
        <f>'X. Satser pensjonstilskudd'!B110</f>
        <v>0</v>
      </c>
      <c r="C110" s="18">
        <f>'X. Satser pensjonstilskudd'!C110</f>
        <v>0</v>
      </c>
      <c r="D110" s="18" t="str">
        <f>IFERROR(_xlfn.XLOOKUP($C110,factPensjon[Virksomhetsnr.],factPensjon[Forpliktelser]),"")</f>
        <v/>
      </c>
      <c r="E110" s="19">
        <f>SUMIFS(BasilRadata[Heltidsplasser
0-2],BasilRadata[År],'0. Oppsett'!$C$8,BasilRadata[1B. Organisasjonsnummer:],$C110)</f>
        <v>0</v>
      </c>
      <c r="F110" s="25">
        <f>'4. Selvkost og satser'!$B$54</f>
        <v>288170.9461329499</v>
      </c>
      <c r="G110" s="19">
        <f>SUMIFS(BasilRadata[Heltidsplasser
3-6],BasilRadata[År],'0. Oppsett'!$C$8,BasilRadata[1B. Organisasjonsnummer:],$C110)</f>
        <v>0</v>
      </c>
      <c r="H110" s="25">
        <f>'4. Selvkost og satser'!$B$55</f>
        <v>156604.23359926464</v>
      </c>
      <c r="I110" s="26">
        <f t="shared" si="5"/>
        <v>0</v>
      </c>
      <c r="J110" s="20">
        <f>SUMIFS(BasilRadata[8E. Oppgi antall årsverk barnehagen har pensjonsforpliktelser for:],'1. BASIL-rådata'!$I$3:$I$500,'X. Satser pensjonstilskudd'!$C110,BasilRadata[År],'0. Oppsett'!$C$8)</f>
        <v>0</v>
      </c>
      <c r="K110" s="30">
        <f>IFERROR(IF(OR(#REF!="",#REF!=""),0,J110*#REF!*#REF!*(1+'0. Oppsett'!$C$11)),0)</f>
        <v>0</v>
      </c>
      <c r="L110" s="95">
        <f t="shared" si="6"/>
        <v>0</v>
      </c>
      <c r="M110" s="31">
        <f t="shared" si="7"/>
        <v>0</v>
      </c>
      <c r="N110" s="32">
        <f>IFERROR(M110*'0. Oppsett'!$C$30,0)</f>
        <v>0</v>
      </c>
      <c r="O110" s="33">
        <v>0</v>
      </c>
      <c r="P110" s="142"/>
      <c r="Q110" s="142"/>
      <c r="R110" s="142"/>
      <c r="S110" s="142">
        <v>0</v>
      </c>
      <c r="T110" s="33">
        <v>0</v>
      </c>
      <c r="U110" s="34">
        <v>0</v>
      </c>
      <c r="V110" s="35">
        <f t="shared" si="8"/>
        <v>0</v>
      </c>
    </row>
    <row r="111" spans="1:22" ht="15.75" thickBot="1" x14ac:dyDescent="0.3">
      <c r="A111" s="17">
        <v>107</v>
      </c>
      <c r="B111" s="150">
        <f>'X. Satser pensjonstilskudd'!B111</f>
        <v>0</v>
      </c>
      <c r="C111" s="18">
        <f>'X. Satser pensjonstilskudd'!C111</f>
        <v>0</v>
      </c>
      <c r="D111" s="18" t="str">
        <f>IFERROR(_xlfn.XLOOKUP($C111,factPensjon[Virksomhetsnr.],factPensjon[Forpliktelser]),"")</f>
        <v/>
      </c>
      <c r="E111" s="19">
        <f>SUMIFS(BasilRadata[Heltidsplasser
0-2],BasilRadata[År],'0. Oppsett'!$C$8,BasilRadata[1B. Organisasjonsnummer:],$C111)</f>
        <v>0</v>
      </c>
      <c r="F111" s="25">
        <f>'4. Selvkost og satser'!$B$54</f>
        <v>288170.9461329499</v>
      </c>
      <c r="G111" s="19">
        <f>SUMIFS(BasilRadata[Heltidsplasser
3-6],BasilRadata[År],'0. Oppsett'!$C$8,BasilRadata[1B. Organisasjonsnummer:],$C111)</f>
        <v>0</v>
      </c>
      <c r="H111" s="25">
        <f>'4. Selvkost og satser'!$B$55</f>
        <v>156604.23359926464</v>
      </c>
      <c r="I111" s="26">
        <f t="shared" si="5"/>
        <v>0</v>
      </c>
      <c r="J111" s="20">
        <f>SUMIFS(BasilRadata[8E. Oppgi antall årsverk barnehagen har pensjonsforpliktelser for:],'1. BASIL-rådata'!$I$3:$I$500,'X. Satser pensjonstilskudd'!$C111,BasilRadata[År],'0. Oppsett'!$C$8)</f>
        <v>0</v>
      </c>
      <c r="K111" s="30">
        <f>IFERROR(IF(OR(#REF!="",#REF!=""),0,J111*#REF!*#REF!*(1+'0. Oppsett'!$C$11)),0)</f>
        <v>0</v>
      </c>
      <c r="L111" s="95">
        <f t="shared" si="6"/>
        <v>0</v>
      </c>
      <c r="M111" s="31">
        <f t="shared" si="7"/>
        <v>0</v>
      </c>
      <c r="N111" s="32">
        <f>IFERROR(M111*'0. Oppsett'!$C$30,0)</f>
        <v>0</v>
      </c>
      <c r="O111" s="33">
        <v>0</v>
      </c>
      <c r="P111" s="142"/>
      <c r="Q111" s="142"/>
      <c r="R111" s="142"/>
      <c r="S111" s="142">
        <v>0</v>
      </c>
      <c r="T111" s="33">
        <v>0</v>
      </c>
      <c r="U111" s="34">
        <v>0</v>
      </c>
      <c r="V111" s="35">
        <f t="shared" si="8"/>
        <v>0</v>
      </c>
    </row>
    <row r="112" spans="1:22" ht="15.75" thickBot="1" x14ac:dyDescent="0.3">
      <c r="A112" s="21">
        <v>108</v>
      </c>
      <c r="B112" s="150">
        <f>'X. Satser pensjonstilskudd'!B112</f>
        <v>0</v>
      </c>
      <c r="C112" s="18">
        <f>'X. Satser pensjonstilskudd'!C112</f>
        <v>0</v>
      </c>
      <c r="D112" s="18" t="str">
        <f>IFERROR(_xlfn.XLOOKUP($C112,factPensjon[Virksomhetsnr.],factPensjon[Forpliktelser]),"")</f>
        <v/>
      </c>
      <c r="E112" s="19">
        <f>SUMIFS(BasilRadata[Heltidsplasser
0-2],BasilRadata[År],'0. Oppsett'!$C$8,BasilRadata[1B. Organisasjonsnummer:],$C112)</f>
        <v>0</v>
      </c>
      <c r="F112" s="25">
        <f>'4. Selvkost og satser'!$B$54</f>
        <v>288170.9461329499</v>
      </c>
      <c r="G112" s="19">
        <f>SUMIFS(BasilRadata[Heltidsplasser
3-6],BasilRadata[År],'0. Oppsett'!$C$8,BasilRadata[1B. Organisasjonsnummer:],$C112)</f>
        <v>0</v>
      </c>
      <c r="H112" s="25">
        <f>'4. Selvkost og satser'!$B$55</f>
        <v>156604.23359926464</v>
      </c>
      <c r="I112" s="26">
        <f t="shared" si="5"/>
        <v>0</v>
      </c>
      <c r="J112" s="20">
        <f>SUMIFS(BasilRadata[8E. Oppgi antall årsverk barnehagen har pensjonsforpliktelser for:],'1. BASIL-rådata'!$I$3:$I$500,'X. Satser pensjonstilskudd'!$C112,BasilRadata[År],'0. Oppsett'!$C$8)</f>
        <v>0</v>
      </c>
      <c r="K112" s="30">
        <f>IFERROR(IF(OR(#REF!="",#REF!=""),0,J112*#REF!*#REF!*(1+'0. Oppsett'!$C$11)),0)</f>
        <v>0</v>
      </c>
      <c r="L112" s="95">
        <f t="shared" si="6"/>
        <v>0</v>
      </c>
      <c r="M112" s="31">
        <f t="shared" si="7"/>
        <v>0</v>
      </c>
      <c r="N112" s="32">
        <f>IFERROR(M112*'0. Oppsett'!$C$30,0)</f>
        <v>0</v>
      </c>
      <c r="O112" s="33">
        <v>0</v>
      </c>
      <c r="P112" s="142"/>
      <c r="Q112" s="142"/>
      <c r="R112" s="142"/>
      <c r="S112" s="142">
        <v>0</v>
      </c>
      <c r="T112" s="33">
        <v>0</v>
      </c>
      <c r="U112" s="34">
        <v>0</v>
      </c>
      <c r="V112" s="35">
        <f t="shared" si="8"/>
        <v>0</v>
      </c>
    </row>
    <row r="113" spans="1:22" ht="15.75" thickBot="1" x14ac:dyDescent="0.3">
      <c r="A113" s="17">
        <v>109</v>
      </c>
      <c r="B113" s="150">
        <f>'X. Satser pensjonstilskudd'!B113</f>
        <v>0</v>
      </c>
      <c r="C113" s="18">
        <f>'X. Satser pensjonstilskudd'!C113</f>
        <v>0</v>
      </c>
      <c r="D113" s="18" t="str">
        <f>IFERROR(_xlfn.XLOOKUP($C113,factPensjon[Virksomhetsnr.],factPensjon[Forpliktelser]),"")</f>
        <v/>
      </c>
      <c r="E113" s="19">
        <f>SUMIFS(BasilRadata[Heltidsplasser
0-2],BasilRadata[År],'0. Oppsett'!$C$8,BasilRadata[1B. Organisasjonsnummer:],$C113)</f>
        <v>0</v>
      </c>
      <c r="F113" s="25">
        <f>'4. Selvkost og satser'!$B$54</f>
        <v>288170.9461329499</v>
      </c>
      <c r="G113" s="19">
        <f>SUMIFS(BasilRadata[Heltidsplasser
3-6],BasilRadata[År],'0. Oppsett'!$C$8,BasilRadata[1B. Organisasjonsnummer:],$C113)</f>
        <v>0</v>
      </c>
      <c r="H113" s="25">
        <f>'4. Selvkost og satser'!$B$55</f>
        <v>156604.23359926464</v>
      </c>
      <c r="I113" s="26">
        <f t="shared" si="5"/>
        <v>0</v>
      </c>
      <c r="J113" s="20">
        <f>SUMIFS(BasilRadata[8E. Oppgi antall årsverk barnehagen har pensjonsforpliktelser for:],'1. BASIL-rådata'!$I$3:$I$500,'X. Satser pensjonstilskudd'!$C113,BasilRadata[År],'0. Oppsett'!$C$8)</f>
        <v>0</v>
      </c>
      <c r="K113" s="30">
        <f>IFERROR(IF(OR(#REF!="",#REF!=""),0,J113*#REF!*#REF!*(1+'0. Oppsett'!$C$11)),0)</f>
        <v>0</v>
      </c>
      <c r="L113" s="95">
        <f t="shared" si="6"/>
        <v>0</v>
      </c>
      <c r="M113" s="31">
        <f t="shared" si="7"/>
        <v>0</v>
      </c>
      <c r="N113" s="32">
        <f>IFERROR(M113*'0. Oppsett'!$C$30,0)</f>
        <v>0</v>
      </c>
      <c r="O113" s="33">
        <v>0</v>
      </c>
      <c r="P113" s="142"/>
      <c r="Q113" s="142"/>
      <c r="R113" s="142"/>
      <c r="S113" s="142">
        <v>0</v>
      </c>
      <c r="T113" s="33">
        <v>0</v>
      </c>
      <c r="U113" s="34">
        <v>0</v>
      </c>
      <c r="V113" s="35">
        <f t="shared" si="8"/>
        <v>0</v>
      </c>
    </row>
    <row r="114" spans="1:22" ht="15.75" thickBot="1" x14ac:dyDescent="0.3">
      <c r="A114" s="21">
        <v>110</v>
      </c>
      <c r="B114" s="150">
        <f>'X. Satser pensjonstilskudd'!B114</f>
        <v>0</v>
      </c>
      <c r="C114" s="18">
        <f>'X. Satser pensjonstilskudd'!C114</f>
        <v>0</v>
      </c>
      <c r="D114" s="18" t="str">
        <f>IFERROR(_xlfn.XLOOKUP($C114,factPensjon[Virksomhetsnr.],factPensjon[Forpliktelser]),"")</f>
        <v/>
      </c>
      <c r="E114" s="19">
        <f>SUMIFS(BasilRadata[Heltidsplasser
0-2],BasilRadata[År],'0. Oppsett'!$C$8,BasilRadata[1B. Organisasjonsnummer:],$C114)</f>
        <v>0</v>
      </c>
      <c r="F114" s="25">
        <f>'4. Selvkost og satser'!$B$54</f>
        <v>288170.9461329499</v>
      </c>
      <c r="G114" s="19">
        <f>SUMIFS(BasilRadata[Heltidsplasser
3-6],BasilRadata[År],'0. Oppsett'!$C$8,BasilRadata[1B. Organisasjonsnummer:],$C114)</f>
        <v>0</v>
      </c>
      <c r="H114" s="25">
        <f>'4. Selvkost og satser'!$B$55</f>
        <v>156604.23359926464</v>
      </c>
      <c r="I114" s="26">
        <f t="shared" si="5"/>
        <v>0</v>
      </c>
      <c r="J114" s="20">
        <f>SUMIFS(BasilRadata[8E. Oppgi antall årsverk barnehagen har pensjonsforpliktelser for:],'1. BASIL-rådata'!$I$3:$I$500,'X. Satser pensjonstilskudd'!$C114,BasilRadata[År],'0. Oppsett'!$C$8)</f>
        <v>0</v>
      </c>
      <c r="K114" s="30">
        <f>IFERROR(IF(OR(#REF!="",#REF!=""),0,J114*#REF!*#REF!*(1+'0. Oppsett'!$C$11)),0)</f>
        <v>0</v>
      </c>
      <c r="L114" s="95">
        <f t="shared" si="6"/>
        <v>0</v>
      </c>
      <c r="M114" s="31">
        <f t="shared" si="7"/>
        <v>0</v>
      </c>
      <c r="N114" s="32">
        <f>IFERROR(M114*'0. Oppsett'!$C$30,0)</f>
        <v>0</v>
      </c>
      <c r="O114" s="33">
        <v>0</v>
      </c>
      <c r="P114" s="142"/>
      <c r="Q114" s="142"/>
      <c r="R114" s="142"/>
      <c r="S114" s="142">
        <v>0</v>
      </c>
      <c r="T114" s="33">
        <v>0</v>
      </c>
      <c r="U114" s="34">
        <v>0</v>
      </c>
      <c r="V114" s="35">
        <f t="shared" si="8"/>
        <v>0</v>
      </c>
    </row>
    <row r="115" spans="1:22" ht="15.75" thickBot="1" x14ac:dyDescent="0.3">
      <c r="A115" s="17">
        <v>111</v>
      </c>
      <c r="B115" s="150">
        <f>'X. Satser pensjonstilskudd'!B115</f>
        <v>0</v>
      </c>
      <c r="C115" s="18">
        <f>'X. Satser pensjonstilskudd'!C115</f>
        <v>0</v>
      </c>
      <c r="D115" s="18" t="str">
        <f>IFERROR(_xlfn.XLOOKUP($C115,factPensjon[Virksomhetsnr.],factPensjon[Forpliktelser]),"")</f>
        <v/>
      </c>
      <c r="E115" s="19">
        <f>SUMIFS(BasilRadata[Heltidsplasser
0-2],BasilRadata[År],'0. Oppsett'!$C$8,BasilRadata[1B. Organisasjonsnummer:],$C115)</f>
        <v>0</v>
      </c>
      <c r="F115" s="25">
        <f>'4. Selvkost og satser'!$B$54</f>
        <v>288170.9461329499</v>
      </c>
      <c r="G115" s="19">
        <f>SUMIFS(BasilRadata[Heltidsplasser
3-6],BasilRadata[År],'0. Oppsett'!$C$8,BasilRadata[1B. Organisasjonsnummer:],$C115)</f>
        <v>0</v>
      </c>
      <c r="H115" s="25">
        <f>'4. Selvkost og satser'!$B$55</f>
        <v>156604.23359926464</v>
      </c>
      <c r="I115" s="26">
        <f t="shared" si="5"/>
        <v>0</v>
      </c>
      <c r="J115" s="20">
        <f>SUMIFS(BasilRadata[8E. Oppgi antall årsverk barnehagen har pensjonsforpliktelser for:],'1. BASIL-rådata'!$I$3:$I$500,'X. Satser pensjonstilskudd'!$C115,BasilRadata[År],'0. Oppsett'!$C$8)</f>
        <v>0</v>
      </c>
      <c r="K115" s="30">
        <f>IFERROR(IF(OR(#REF!="",#REF!=""),0,J115*#REF!*#REF!*(1+'0. Oppsett'!$C$11)),0)</f>
        <v>0</v>
      </c>
      <c r="L115" s="95">
        <f t="shared" si="6"/>
        <v>0</v>
      </c>
      <c r="M115" s="31">
        <f t="shared" si="7"/>
        <v>0</v>
      </c>
      <c r="N115" s="32">
        <f>IFERROR(M115*'0. Oppsett'!$C$30,0)</f>
        <v>0</v>
      </c>
      <c r="O115" s="33">
        <v>0</v>
      </c>
      <c r="P115" s="142"/>
      <c r="Q115" s="142"/>
      <c r="R115" s="142"/>
      <c r="S115" s="142">
        <v>0</v>
      </c>
      <c r="T115" s="33">
        <v>0</v>
      </c>
      <c r="U115" s="34">
        <v>0</v>
      </c>
      <c r="V115" s="35">
        <f t="shared" si="8"/>
        <v>0</v>
      </c>
    </row>
    <row r="116" spans="1:22" ht="15.75" thickBot="1" x14ac:dyDescent="0.3">
      <c r="A116" s="21">
        <v>112</v>
      </c>
      <c r="B116" s="150">
        <f>'X. Satser pensjonstilskudd'!B116</f>
        <v>0</v>
      </c>
      <c r="C116" s="18">
        <f>'X. Satser pensjonstilskudd'!C116</f>
        <v>0</v>
      </c>
      <c r="D116" s="18" t="str">
        <f>IFERROR(_xlfn.XLOOKUP($C116,factPensjon[Virksomhetsnr.],factPensjon[Forpliktelser]),"")</f>
        <v/>
      </c>
      <c r="E116" s="19">
        <f>SUMIFS(BasilRadata[Heltidsplasser
0-2],BasilRadata[År],'0. Oppsett'!$C$8,BasilRadata[1B. Organisasjonsnummer:],$C116)</f>
        <v>0</v>
      </c>
      <c r="F116" s="25">
        <f>'4. Selvkost og satser'!$B$54</f>
        <v>288170.9461329499</v>
      </c>
      <c r="G116" s="19">
        <f>SUMIFS(BasilRadata[Heltidsplasser
3-6],BasilRadata[År],'0. Oppsett'!$C$8,BasilRadata[1B. Organisasjonsnummer:],$C116)</f>
        <v>0</v>
      </c>
      <c r="H116" s="25">
        <f>'4. Selvkost og satser'!$B$55</f>
        <v>156604.23359926464</v>
      </c>
      <c r="I116" s="26">
        <f t="shared" si="5"/>
        <v>0</v>
      </c>
      <c r="J116" s="20">
        <f>SUMIFS(BasilRadata[8E. Oppgi antall årsverk barnehagen har pensjonsforpliktelser for:],'1. BASIL-rådata'!$I$3:$I$500,'X. Satser pensjonstilskudd'!$C116,BasilRadata[År],'0. Oppsett'!$C$8)</f>
        <v>0</v>
      </c>
      <c r="K116" s="30">
        <f>IFERROR(IF(OR(#REF!="",#REF!=""),0,J116*#REF!*#REF!*(1+'0. Oppsett'!$C$11)),0)</f>
        <v>0</v>
      </c>
      <c r="L116" s="95">
        <f t="shared" si="6"/>
        <v>0</v>
      </c>
      <c r="M116" s="31">
        <f t="shared" si="7"/>
        <v>0</v>
      </c>
      <c r="N116" s="32">
        <f>IFERROR(M116*'0. Oppsett'!$C$30,0)</f>
        <v>0</v>
      </c>
      <c r="O116" s="33">
        <v>0</v>
      </c>
      <c r="P116" s="142"/>
      <c r="Q116" s="142"/>
      <c r="R116" s="142"/>
      <c r="S116" s="142">
        <v>0</v>
      </c>
      <c r="T116" s="33">
        <v>0</v>
      </c>
      <c r="U116" s="34">
        <v>0</v>
      </c>
      <c r="V116" s="35">
        <f t="shared" si="8"/>
        <v>0</v>
      </c>
    </row>
    <row r="117" spans="1:22" ht="15.75" thickBot="1" x14ac:dyDescent="0.3">
      <c r="A117" s="17">
        <v>113</v>
      </c>
      <c r="B117" s="150">
        <f>'X. Satser pensjonstilskudd'!B117</f>
        <v>0</v>
      </c>
      <c r="C117" s="18">
        <f>'X. Satser pensjonstilskudd'!C117</f>
        <v>0</v>
      </c>
      <c r="D117" s="18" t="str">
        <f>IFERROR(_xlfn.XLOOKUP($C117,factPensjon[Virksomhetsnr.],factPensjon[Forpliktelser]),"")</f>
        <v/>
      </c>
      <c r="E117" s="19">
        <f>SUMIFS(BasilRadata[Heltidsplasser
0-2],BasilRadata[År],'0. Oppsett'!$C$8,BasilRadata[1B. Organisasjonsnummer:],$C117)</f>
        <v>0</v>
      </c>
      <c r="F117" s="25">
        <f>'4. Selvkost og satser'!$B$54</f>
        <v>288170.9461329499</v>
      </c>
      <c r="G117" s="19">
        <f>SUMIFS(BasilRadata[Heltidsplasser
3-6],BasilRadata[År],'0. Oppsett'!$C$8,BasilRadata[1B. Organisasjonsnummer:],$C117)</f>
        <v>0</v>
      </c>
      <c r="H117" s="25">
        <f>'4. Selvkost og satser'!$B$55</f>
        <v>156604.23359926464</v>
      </c>
      <c r="I117" s="26">
        <f t="shared" si="5"/>
        <v>0</v>
      </c>
      <c r="J117" s="20">
        <f>SUMIFS(BasilRadata[8E. Oppgi antall årsverk barnehagen har pensjonsforpliktelser for:],'1. BASIL-rådata'!$I$3:$I$500,'X. Satser pensjonstilskudd'!$C117,BasilRadata[År],'0. Oppsett'!$C$8)</f>
        <v>0</v>
      </c>
      <c r="K117" s="30">
        <f>IFERROR(IF(OR(#REF!="",#REF!=""),0,J117*#REF!*#REF!*(1+'0. Oppsett'!$C$11)),0)</f>
        <v>0</v>
      </c>
      <c r="L117" s="95">
        <f t="shared" si="6"/>
        <v>0</v>
      </c>
      <c r="M117" s="31">
        <f t="shared" si="7"/>
        <v>0</v>
      </c>
      <c r="N117" s="32">
        <f>IFERROR(M117*'0. Oppsett'!$C$30,0)</f>
        <v>0</v>
      </c>
      <c r="O117" s="33">
        <v>0</v>
      </c>
      <c r="P117" s="142"/>
      <c r="Q117" s="142"/>
      <c r="R117" s="142"/>
      <c r="S117" s="142">
        <v>0</v>
      </c>
      <c r="T117" s="33">
        <v>0</v>
      </c>
      <c r="U117" s="34">
        <v>0</v>
      </c>
      <c r="V117" s="35">
        <f t="shared" si="8"/>
        <v>0</v>
      </c>
    </row>
    <row r="118" spans="1:22" ht="15.75" thickBot="1" x14ac:dyDescent="0.3">
      <c r="A118" s="21">
        <v>114</v>
      </c>
      <c r="B118" s="150">
        <f>'X. Satser pensjonstilskudd'!B118</f>
        <v>0</v>
      </c>
      <c r="C118" s="18">
        <f>'X. Satser pensjonstilskudd'!C118</f>
        <v>0</v>
      </c>
      <c r="D118" s="18" t="str">
        <f>IFERROR(_xlfn.XLOOKUP($C118,factPensjon[Virksomhetsnr.],factPensjon[Forpliktelser]),"")</f>
        <v/>
      </c>
      <c r="E118" s="19">
        <f>SUMIFS(BasilRadata[Heltidsplasser
0-2],BasilRadata[År],'0. Oppsett'!$C$8,BasilRadata[1B. Organisasjonsnummer:],$C118)</f>
        <v>0</v>
      </c>
      <c r="F118" s="25">
        <f>'4. Selvkost og satser'!$B$54</f>
        <v>288170.9461329499</v>
      </c>
      <c r="G118" s="19">
        <f>SUMIFS(BasilRadata[Heltidsplasser
3-6],BasilRadata[År],'0. Oppsett'!$C$8,BasilRadata[1B. Organisasjonsnummer:],$C118)</f>
        <v>0</v>
      </c>
      <c r="H118" s="25">
        <f>'4. Selvkost og satser'!$B$55</f>
        <v>156604.23359926464</v>
      </c>
      <c r="I118" s="26">
        <f t="shared" si="5"/>
        <v>0</v>
      </c>
      <c r="J118" s="20">
        <f>SUMIFS(BasilRadata[8E. Oppgi antall årsverk barnehagen har pensjonsforpliktelser for:],'1. BASIL-rådata'!$I$3:$I$500,'X. Satser pensjonstilskudd'!$C118,BasilRadata[År],'0. Oppsett'!$C$8)</f>
        <v>0</v>
      </c>
      <c r="K118" s="30">
        <f>IFERROR(IF(OR(#REF!="",#REF!=""),0,J118*#REF!*#REF!*(1+'0. Oppsett'!$C$11)),0)</f>
        <v>0</v>
      </c>
      <c r="L118" s="95">
        <f t="shared" si="6"/>
        <v>0</v>
      </c>
      <c r="M118" s="31">
        <f t="shared" si="7"/>
        <v>0</v>
      </c>
      <c r="N118" s="32">
        <f>IFERROR(M118*'0. Oppsett'!$C$30,0)</f>
        <v>0</v>
      </c>
      <c r="O118" s="33">
        <v>0</v>
      </c>
      <c r="P118" s="142"/>
      <c r="Q118" s="142"/>
      <c r="R118" s="142"/>
      <c r="S118" s="142">
        <v>0</v>
      </c>
      <c r="T118" s="33">
        <v>0</v>
      </c>
      <c r="U118" s="34">
        <v>0</v>
      </c>
      <c r="V118" s="35">
        <f t="shared" si="8"/>
        <v>0</v>
      </c>
    </row>
    <row r="119" spans="1:22" ht="15.75" thickBot="1" x14ac:dyDescent="0.3">
      <c r="A119" s="17">
        <v>115</v>
      </c>
      <c r="B119" s="150">
        <f>'X. Satser pensjonstilskudd'!B119</f>
        <v>0</v>
      </c>
      <c r="C119" s="18">
        <f>'X. Satser pensjonstilskudd'!C119</f>
        <v>0</v>
      </c>
      <c r="D119" s="18" t="str">
        <f>IFERROR(_xlfn.XLOOKUP($C119,factPensjon[Virksomhetsnr.],factPensjon[Forpliktelser]),"")</f>
        <v/>
      </c>
      <c r="E119" s="19">
        <f>SUMIFS(BasilRadata[Heltidsplasser
0-2],BasilRadata[År],'0. Oppsett'!$C$8,BasilRadata[1B. Organisasjonsnummer:],$C119)</f>
        <v>0</v>
      </c>
      <c r="F119" s="25">
        <f>'4. Selvkost og satser'!$B$54</f>
        <v>288170.9461329499</v>
      </c>
      <c r="G119" s="19">
        <f>SUMIFS(BasilRadata[Heltidsplasser
3-6],BasilRadata[År],'0. Oppsett'!$C$8,BasilRadata[1B. Organisasjonsnummer:],$C119)</f>
        <v>0</v>
      </c>
      <c r="H119" s="25">
        <f>'4. Selvkost og satser'!$B$55</f>
        <v>156604.23359926464</v>
      </c>
      <c r="I119" s="26">
        <f t="shared" si="5"/>
        <v>0</v>
      </c>
      <c r="J119" s="20">
        <f>SUMIFS(BasilRadata[8E. Oppgi antall årsverk barnehagen har pensjonsforpliktelser for:],'1. BASIL-rådata'!$I$3:$I$500,'X. Satser pensjonstilskudd'!$C119,BasilRadata[År],'0. Oppsett'!$C$8)</f>
        <v>0</v>
      </c>
      <c r="K119" s="30">
        <f>IFERROR(IF(OR(#REF!="",#REF!=""),0,J119*#REF!*#REF!*(1+'0. Oppsett'!$C$11)),0)</f>
        <v>0</v>
      </c>
      <c r="L119" s="95">
        <f t="shared" si="6"/>
        <v>0</v>
      </c>
      <c r="M119" s="31">
        <f t="shared" si="7"/>
        <v>0</v>
      </c>
      <c r="N119" s="32">
        <f>IFERROR(M119*'0. Oppsett'!$C$30,0)</f>
        <v>0</v>
      </c>
      <c r="O119" s="33">
        <v>0</v>
      </c>
      <c r="P119" s="142"/>
      <c r="Q119" s="142"/>
      <c r="R119" s="142"/>
      <c r="S119" s="142">
        <v>0</v>
      </c>
      <c r="T119" s="33">
        <v>0</v>
      </c>
      <c r="U119" s="34">
        <v>0</v>
      </c>
      <c r="V119" s="35">
        <f t="shared" si="8"/>
        <v>0</v>
      </c>
    </row>
    <row r="120" spans="1:22" ht="15.75" thickBot="1" x14ac:dyDescent="0.3">
      <c r="A120" s="21">
        <v>116</v>
      </c>
      <c r="B120" s="150">
        <f>'X. Satser pensjonstilskudd'!B120</f>
        <v>0</v>
      </c>
      <c r="C120" s="18">
        <f>'X. Satser pensjonstilskudd'!C120</f>
        <v>0</v>
      </c>
      <c r="D120" s="18" t="str">
        <f>IFERROR(_xlfn.XLOOKUP($C120,factPensjon[Virksomhetsnr.],factPensjon[Forpliktelser]),"")</f>
        <v/>
      </c>
      <c r="E120" s="19">
        <f>SUMIFS(BasilRadata[Heltidsplasser
0-2],BasilRadata[År],'0. Oppsett'!$C$8,BasilRadata[1B. Organisasjonsnummer:],$C120)</f>
        <v>0</v>
      </c>
      <c r="F120" s="25">
        <f>'4. Selvkost og satser'!$B$54</f>
        <v>288170.9461329499</v>
      </c>
      <c r="G120" s="19">
        <f>SUMIFS(BasilRadata[Heltidsplasser
3-6],BasilRadata[År],'0. Oppsett'!$C$8,BasilRadata[1B. Organisasjonsnummer:],$C120)</f>
        <v>0</v>
      </c>
      <c r="H120" s="25">
        <f>'4. Selvkost og satser'!$B$55</f>
        <v>156604.23359926464</v>
      </c>
      <c r="I120" s="26">
        <f t="shared" si="5"/>
        <v>0</v>
      </c>
      <c r="J120" s="20">
        <f>SUMIFS(BasilRadata[8E. Oppgi antall årsverk barnehagen har pensjonsforpliktelser for:],'1. BASIL-rådata'!$I$3:$I$500,'X. Satser pensjonstilskudd'!$C120,BasilRadata[År],'0. Oppsett'!$C$8)</f>
        <v>0</v>
      </c>
      <c r="K120" s="30">
        <f>IFERROR(IF(OR(#REF!="",#REF!=""),0,J120*#REF!*#REF!*(1+'0. Oppsett'!$C$11)),0)</f>
        <v>0</v>
      </c>
      <c r="L120" s="95">
        <f t="shared" si="6"/>
        <v>0</v>
      </c>
      <c r="M120" s="31">
        <f t="shared" si="7"/>
        <v>0</v>
      </c>
      <c r="N120" s="32">
        <f>IFERROR(M120*'0. Oppsett'!$C$30,0)</f>
        <v>0</v>
      </c>
      <c r="O120" s="33">
        <v>0</v>
      </c>
      <c r="P120" s="142"/>
      <c r="Q120" s="142"/>
      <c r="R120" s="142"/>
      <c r="S120" s="142">
        <v>0</v>
      </c>
      <c r="T120" s="33">
        <v>0</v>
      </c>
      <c r="U120" s="34">
        <v>0</v>
      </c>
      <c r="V120" s="35">
        <f t="shared" si="8"/>
        <v>0</v>
      </c>
    </row>
    <row r="121" spans="1:22" ht="15.75" thickBot="1" x14ac:dyDescent="0.3">
      <c r="A121" s="17">
        <v>117</v>
      </c>
      <c r="B121" s="150">
        <f>'X. Satser pensjonstilskudd'!B121</f>
        <v>0</v>
      </c>
      <c r="C121" s="18">
        <f>'X. Satser pensjonstilskudd'!C121</f>
        <v>0</v>
      </c>
      <c r="D121" s="18" t="str">
        <f>IFERROR(_xlfn.XLOOKUP($C121,factPensjon[Virksomhetsnr.],factPensjon[Forpliktelser]),"")</f>
        <v/>
      </c>
      <c r="E121" s="19">
        <f>SUMIFS(BasilRadata[Heltidsplasser
0-2],BasilRadata[År],'0. Oppsett'!$C$8,BasilRadata[1B. Organisasjonsnummer:],$C121)</f>
        <v>0</v>
      </c>
      <c r="F121" s="25">
        <f>'4. Selvkost og satser'!$B$54</f>
        <v>288170.9461329499</v>
      </c>
      <c r="G121" s="19">
        <f>SUMIFS(BasilRadata[Heltidsplasser
3-6],BasilRadata[År],'0. Oppsett'!$C$8,BasilRadata[1B. Organisasjonsnummer:],$C121)</f>
        <v>0</v>
      </c>
      <c r="H121" s="25">
        <f>'4. Selvkost og satser'!$B$55</f>
        <v>156604.23359926464</v>
      </c>
      <c r="I121" s="26">
        <f t="shared" si="5"/>
        <v>0</v>
      </c>
      <c r="J121" s="20">
        <f>SUMIFS(BasilRadata[8E. Oppgi antall årsverk barnehagen har pensjonsforpliktelser for:],'1. BASIL-rådata'!$I$3:$I$500,'X. Satser pensjonstilskudd'!$C121,BasilRadata[År],'0. Oppsett'!$C$8)</f>
        <v>0</v>
      </c>
      <c r="K121" s="30">
        <f>IFERROR(IF(OR(#REF!="",#REF!=""),0,J121*#REF!*#REF!*(1+'0. Oppsett'!$C$11)),0)</f>
        <v>0</v>
      </c>
      <c r="L121" s="95">
        <f t="shared" si="6"/>
        <v>0</v>
      </c>
      <c r="M121" s="31">
        <f t="shared" si="7"/>
        <v>0</v>
      </c>
      <c r="N121" s="32">
        <f>IFERROR(M121*'0. Oppsett'!$C$30,0)</f>
        <v>0</v>
      </c>
      <c r="O121" s="33">
        <v>0</v>
      </c>
      <c r="P121" s="142"/>
      <c r="Q121" s="142"/>
      <c r="R121" s="142"/>
      <c r="S121" s="142">
        <v>0</v>
      </c>
      <c r="T121" s="33">
        <v>0</v>
      </c>
      <c r="U121" s="34">
        <v>0</v>
      </c>
      <c r="V121" s="35">
        <f t="shared" si="8"/>
        <v>0</v>
      </c>
    </row>
    <row r="122" spans="1:22" ht="15.75" thickBot="1" x14ac:dyDescent="0.3">
      <c r="A122" s="21">
        <v>118</v>
      </c>
      <c r="B122" s="150">
        <f>'X. Satser pensjonstilskudd'!B122</f>
        <v>0</v>
      </c>
      <c r="C122" s="18">
        <f>'X. Satser pensjonstilskudd'!C122</f>
        <v>0</v>
      </c>
      <c r="D122" s="18" t="str">
        <f>IFERROR(_xlfn.XLOOKUP($C122,factPensjon[Virksomhetsnr.],factPensjon[Forpliktelser]),"")</f>
        <v/>
      </c>
      <c r="E122" s="19">
        <f>SUMIFS(BasilRadata[Heltidsplasser
0-2],BasilRadata[År],'0. Oppsett'!$C$8,BasilRadata[1B. Organisasjonsnummer:],$C122)</f>
        <v>0</v>
      </c>
      <c r="F122" s="25">
        <f>'4. Selvkost og satser'!$B$54</f>
        <v>288170.9461329499</v>
      </c>
      <c r="G122" s="19">
        <f>SUMIFS(BasilRadata[Heltidsplasser
3-6],BasilRadata[År],'0. Oppsett'!$C$8,BasilRadata[1B. Organisasjonsnummer:],$C122)</f>
        <v>0</v>
      </c>
      <c r="H122" s="25">
        <f>'4. Selvkost og satser'!$B$55</f>
        <v>156604.23359926464</v>
      </c>
      <c r="I122" s="26">
        <f t="shared" si="5"/>
        <v>0</v>
      </c>
      <c r="J122" s="20">
        <f>SUMIFS(BasilRadata[8E. Oppgi antall årsverk barnehagen har pensjonsforpliktelser for:],'1. BASIL-rådata'!$I$3:$I$500,'X. Satser pensjonstilskudd'!$C122,BasilRadata[År],'0. Oppsett'!$C$8)</f>
        <v>0</v>
      </c>
      <c r="K122" s="30">
        <f>IFERROR(IF(OR(#REF!="",#REF!=""),0,J122*#REF!*#REF!*(1+'0. Oppsett'!$C$11)),0)</f>
        <v>0</v>
      </c>
      <c r="L122" s="95">
        <f t="shared" si="6"/>
        <v>0</v>
      </c>
      <c r="M122" s="31">
        <f t="shared" si="7"/>
        <v>0</v>
      </c>
      <c r="N122" s="32">
        <f>IFERROR(M122*'0. Oppsett'!$C$30,0)</f>
        <v>0</v>
      </c>
      <c r="O122" s="33">
        <v>0</v>
      </c>
      <c r="P122" s="142"/>
      <c r="Q122" s="142"/>
      <c r="R122" s="142"/>
      <c r="S122" s="142">
        <v>0</v>
      </c>
      <c r="T122" s="33">
        <v>0</v>
      </c>
      <c r="U122" s="34">
        <v>0</v>
      </c>
      <c r="V122" s="35">
        <f t="shared" si="8"/>
        <v>0</v>
      </c>
    </row>
    <row r="123" spans="1:22" ht="15.75" thickBot="1" x14ac:dyDescent="0.3">
      <c r="A123" s="17">
        <v>119</v>
      </c>
      <c r="B123" s="150">
        <f>'X. Satser pensjonstilskudd'!B123</f>
        <v>0</v>
      </c>
      <c r="C123" s="18">
        <f>'X. Satser pensjonstilskudd'!C123</f>
        <v>0</v>
      </c>
      <c r="D123" s="18" t="str">
        <f>IFERROR(_xlfn.XLOOKUP($C123,factPensjon[Virksomhetsnr.],factPensjon[Forpliktelser]),"")</f>
        <v/>
      </c>
      <c r="E123" s="19">
        <f>SUMIFS(BasilRadata[Heltidsplasser
0-2],BasilRadata[År],'0. Oppsett'!$C$8,BasilRadata[1B. Organisasjonsnummer:],$C123)</f>
        <v>0</v>
      </c>
      <c r="F123" s="25">
        <f>'4. Selvkost og satser'!$B$54</f>
        <v>288170.9461329499</v>
      </c>
      <c r="G123" s="19">
        <f>SUMIFS(BasilRadata[Heltidsplasser
3-6],BasilRadata[År],'0. Oppsett'!$C$8,BasilRadata[1B. Organisasjonsnummer:],$C123)</f>
        <v>0</v>
      </c>
      <c r="H123" s="25">
        <f>'4. Selvkost og satser'!$B$55</f>
        <v>156604.23359926464</v>
      </c>
      <c r="I123" s="26">
        <f t="shared" si="5"/>
        <v>0</v>
      </c>
      <c r="J123" s="20">
        <f>SUMIFS(BasilRadata[8E. Oppgi antall årsverk barnehagen har pensjonsforpliktelser for:],'1. BASIL-rådata'!$I$3:$I$500,'X. Satser pensjonstilskudd'!$C123,BasilRadata[År],'0. Oppsett'!$C$8)</f>
        <v>0</v>
      </c>
      <c r="K123" s="30">
        <f>IFERROR(IF(OR(#REF!="",#REF!=""),0,J123*#REF!*#REF!*(1+'0. Oppsett'!$C$11)),0)</f>
        <v>0</v>
      </c>
      <c r="L123" s="95">
        <f t="shared" si="6"/>
        <v>0</v>
      </c>
      <c r="M123" s="31">
        <f t="shared" si="7"/>
        <v>0</v>
      </c>
      <c r="N123" s="32">
        <f>IFERROR(M123*'0. Oppsett'!$C$30,0)</f>
        <v>0</v>
      </c>
      <c r="O123" s="33">
        <v>0</v>
      </c>
      <c r="P123" s="142"/>
      <c r="Q123" s="142"/>
      <c r="R123" s="142"/>
      <c r="S123" s="142">
        <v>0</v>
      </c>
      <c r="T123" s="33">
        <v>0</v>
      </c>
      <c r="U123" s="34">
        <v>0</v>
      </c>
      <c r="V123" s="35">
        <f t="shared" si="8"/>
        <v>0</v>
      </c>
    </row>
    <row r="124" spans="1:22" ht="15.75" thickBot="1" x14ac:dyDescent="0.3">
      <c r="A124" s="21">
        <v>120</v>
      </c>
      <c r="B124" s="150">
        <f>'X. Satser pensjonstilskudd'!B124</f>
        <v>0</v>
      </c>
      <c r="C124" s="18">
        <f>'X. Satser pensjonstilskudd'!C124</f>
        <v>0</v>
      </c>
      <c r="D124" s="18" t="str">
        <f>IFERROR(_xlfn.XLOOKUP($C124,factPensjon[Virksomhetsnr.],factPensjon[Forpliktelser]),"")</f>
        <v/>
      </c>
      <c r="E124" s="19">
        <f>SUMIFS(BasilRadata[Heltidsplasser
0-2],BasilRadata[År],'0. Oppsett'!$C$8,BasilRadata[1B. Organisasjonsnummer:],$C124)</f>
        <v>0</v>
      </c>
      <c r="F124" s="25">
        <f>'4. Selvkost og satser'!$B$54</f>
        <v>288170.9461329499</v>
      </c>
      <c r="G124" s="19">
        <f>SUMIFS(BasilRadata[Heltidsplasser
3-6],BasilRadata[År],'0. Oppsett'!$C$8,BasilRadata[1B. Organisasjonsnummer:],$C124)</f>
        <v>0</v>
      </c>
      <c r="H124" s="25">
        <f>'4. Selvkost og satser'!$B$55</f>
        <v>156604.23359926464</v>
      </c>
      <c r="I124" s="26">
        <f t="shared" si="5"/>
        <v>0</v>
      </c>
      <c r="J124" s="20">
        <f>SUMIFS(BasilRadata[8E. Oppgi antall årsverk barnehagen har pensjonsforpliktelser for:],'1. BASIL-rådata'!$I$3:$I$500,'X. Satser pensjonstilskudd'!$C124,BasilRadata[År],'0. Oppsett'!$C$8)</f>
        <v>0</v>
      </c>
      <c r="K124" s="30">
        <f>IFERROR(IF(OR(#REF!="",#REF!=""),0,J124*#REF!*#REF!*(1+'0. Oppsett'!$C$11)),0)</f>
        <v>0</v>
      </c>
      <c r="L124" s="95">
        <f t="shared" si="6"/>
        <v>0</v>
      </c>
      <c r="M124" s="31">
        <f t="shared" si="7"/>
        <v>0</v>
      </c>
      <c r="N124" s="32">
        <f>IFERROR(M124*'0. Oppsett'!$C$30,0)</f>
        <v>0</v>
      </c>
      <c r="O124" s="33">
        <v>0</v>
      </c>
      <c r="P124" s="142"/>
      <c r="Q124" s="142"/>
      <c r="R124" s="142"/>
      <c r="S124" s="142">
        <v>0</v>
      </c>
      <c r="T124" s="33">
        <v>0</v>
      </c>
      <c r="U124" s="34">
        <v>0</v>
      </c>
      <c r="V124" s="35">
        <f t="shared" si="8"/>
        <v>0</v>
      </c>
    </row>
    <row r="125" spans="1:22" ht="15.75" thickBot="1" x14ac:dyDescent="0.3">
      <c r="A125" s="17">
        <v>121</v>
      </c>
      <c r="B125" s="150">
        <f>'X. Satser pensjonstilskudd'!B125</f>
        <v>0</v>
      </c>
      <c r="C125" s="18">
        <f>'X. Satser pensjonstilskudd'!C125</f>
        <v>0</v>
      </c>
      <c r="D125" s="18" t="str">
        <f>IFERROR(_xlfn.XLOOKUP($C125,factPensjon[Virksomhetsnr.],factPensjon[Forpliktelser]),"")</f>
        <v/>
      </c>
      <c r="E125" s="19">
        <f>SUMIFS(BasilRadata[Heltidsplasser
0-2],BasilRadata[År],'0. Oppsett'!$C$8,BasilRadata[1B. Organisasjonsnummer:],$C125)</f>
        <v>0</v>
      </c>
      <c r="F125" s="25">
        <f>'4. Selvkost og satser'!$B$54</f>
        <v>288170.9461329499</v>
      </c>
      <c r="G125" s="19">
        <f>SUMIFS(BasilRadata[Heltidsplasser
3-6],BasilRadata[År],'0. Oppsett'!$C$8,BasilRadata[1B. Organisasjonsnummer:],$C125)</f>
        <v>0</v>
      </c>
      <c r="H125" s="25">
        <f>'4. Selvkost og satser'!$B$55</f>
        <v>156604.23359926464</v>
      </c>
      <c r="I125" s="26">
        <f t="shared" si="5"/>
        <v>0</v>
      </c>
      <c r="J125" s="20">
        <f>SUMIFS(BasilRadata[8E. Oppgi antall årsverk barnehagen har pensjonsforpliktelser for:],'1. BASIL-rådata'!$I$3:$I$500,'X. Satser pensjonstilskudd'!$C125,BasilRadata[År],'0. Oppsett'!$C$8)</f>
        <v>0</v>
      </c>
      <c r="K125" s="30">
        <f>IFERROR(IF(OR(#REF!="",#REF!=""),0,J125*#REF!*#REF!*(1+'0. Oppsett'!$C$11)),0)</f>
        <v>0</v>
      </c>
      <c r="L125" s="95">
        <f t="shared" si="6"/>
        <v>0</v>
      </c>
      <c r="M125" s="31">
        <f t="shared" si="7"/>
        <v>0</v>
      </c>
      <c r="N125" s="32">
        <f>IFERROR(M125*'0. Oppsett'!$C$30,0)</f>
        <v>0</v>
      </c>
      <c r="O125" s="33">
        <v>0</v>
      </c>
      <c r="P125" s="142"/>
      <c r="Q125" s="142"/>
      <c r="R125" s="142"/>
      <c r="S125" s="142">
        <v>0</v>
      </c>
      <c r="T125" s="33">
        <v>0</v>
      </c>
      <c r="U125" s="34">
        <v>0</v>
      </c>
      <c r="V125" s="35">
        <f t="shared" si="8"/>
        <v>0</v>
      </c>
    </row>
    <row r="126" spans="1:22" ht="15.75" thickBot="1" x14ac:dyDescent="0.3">
      <c r="A126" s="21">
        <v>122</v>
      </c>
      <c r="B126" s="150">
        <f>'X. Satser pensjonstilskudd'!B126</f>
        <v>0</v>
      </c>
      <c r="C126" s="18">
        <f>'X. Satser pensjonstilskudd'!C126</f>
        <v>0</v>
      </c>
      <c r="D126" s="18" t="str">
        <f>IFERROR(_xlfn.XLOOKUP($C126,factPensjon[Virksomhetsnr.],factPensjon[Forpliktelser]),"")</f>
        <v/>
      </c>
      <c r="E126" s="19">
        <f>SUMIFS(BasilRadata[Heltidsplasser
0-2],BasilRadata[År],'0. Oppsett'!$C$8,BasilRadata[1B. Organisasjonsnummer:],$C126)</f>
        <v>0</v>
      </c>
      <c r="F126" s="25">
        <f>'4. Selvkost og satser'!$B$54</f>
        <v>288170.9461329499</v>
      </c>
      <c r="G126" s="19">
        <f>SUMIFS(BasilRadata[Heltidsplasser
3-6],BasilRadata[År],'0. Oppsett'!$C$8,BasilRadata[1B. Organisasjonsnummer:],$C126)</f>
        <v>0</v>
      </c>
      <c r="H126" s="25">
        <f>'4. Selvkost og satser'!$B$55</f>
        <v>156604.23359926464</v>
      </c>
      <c r="I126" s="26">
        <f t="shared" si="5"/>
        <v>0</v>
      </c>
      <c r="J126" s="20">
        <f>SUMIFS(BasilRadata[8E. Oppgi antall årsverk barnehagen har pensjonsforpliktelser for:],'1. BASIL-rådata'!$I$3:$I$500,'X. Satser pensjonstilskudd'!$C126,BasilRadata[År],'0. Oppsett'!$C$8)</f>
        <v>0</v>
      </c>
      <c r="K126" s="30">
        <f>IFERROR(IF(OR(#REF!="",#REF!=""),0,J126*#REF!*#REF!*(1+'0. Oppsett'!$C$11)),0)</f>
        <v>0</v>
      </c>
      <c r="L126" s="95">
        <f t="shared" si="6"/>
        <v>0</v>
      </c>
      <c r="M126" s="31">
        <f t="shared" si="7"/>
        <v>0</v>
      </c>
      <c r="N126" s="32">
        <f>IFERROR(M126*'0. Oppsett'!$C$30,0)</f>
        <v>0</v>
      </c>
      <c r="O126" s="33">
        <v>0</v>
      </c>
      <c r="P126" s="142"/>
      <c r="Q126" s="142"/>
      <c r="R126" s="142"/>
      <c r="S126" s="142">
        <v>0</v>
      </c>
      <c r="T126" s="33">
        <v>0</v>
      </c>
      <c r="U126" s="34">
        <v>0</v>
      </c>
      <c r="V126" s="35">
        <f t="shared" si="8"/>
        <v>0</v>
      </c>
    </row>
    <row r="127" spans="1:22" ht="15.75" thickBot="1" x14ac:dyDescent="0.3">
      <c r="A127" s="17">
        <v>123</v>
      </c>
      <c r="B127" s="150">
        <f>'X. Satser pensjonstilskudd'!B127</f>
        <v>0</v>
      </c>
      <c r="C127" s="18">
        <f>'X. Satser pensjonstilskudd'!C127</f>
        <v>0</v>
      </c>
      <c r="D127" s="18" t="str">
        <f>IFERROR(_xlfn.XLOOKUP($C127,factPensjon[Virksomhetsnr.],factPensjon[Forpliktelser]),"")</f>
        <v/>
      </c>
      <c r="E127" s="19">
        <f>SUMIFS(BasilRadata[Heltidsplasser
0-2],BasilRadata[År],'0. Oppsett'!$C$8,BasilRadata[1B. Organisasjonsnummer:],$C127)</f>
        <v>0</v>
      </c>
      <c r="F127" s="25">
        <f>'4. Selvkost og satser'!$B$54</f>
        <v>288170.9461329499</v>
      </c>
      <c r="G127" s="19">
        <f>SUMIFS(BasilRadata[Heltidsplasser
3-6],BasilRadata[År],'0. Oppsett'!$C$8,BasilRadata[1B. Organisasjonsnummer:],$C127)</f>
        <v>0</v>
      </c>
      <c r="H127" s="25">
        <f>'4. Selvkost og satser'!$B$55</f>
        <v>156604.23359926464</v>
      </c>
      <c r="I127" s="26">
        <f t="shared" si="5"/>
        <v>0</v>
      </c>
      <c r="J127" s="20">
        <f>SUMIFS(BasilRadata[8E. Oppgi antall årsverk barnehagen har pensjonsforpliktelser for:],'1. BASIL-rådata'!$I$3:$I$500,'X. Satser pensjonstilskudd'!$C127,BasilRadata[År],'0. Oppsett'!$C$8)</f>
        <v>0</v>
      </c>
      <c r="K127" s="30">
        <f>IFERROR(IF(OR(#REF!="",#REF!=""),0,J127*#REF!*#REF!*(1+'0. Oppsett'!$C$11)),0)</f>
        <v>0</v>
      </c>
      <c r="L127" s="95">
        <f t="shared" si="6"/>
        <v>0</v>
      </c>
      <c r="M127" s="31">
        <f t="shared" si="7"/>
        <v>0</v>
      </c>
      <c r="N127" s="32">
        <f>IFERROR(M127*'0. Oppsett'!$C$30,0)</f>
        <v>0</v>
      </c>
      <c r="O127" s="33">
        <v>0</v>
      </c>
      <c r="P127" s="142"/>
      <c r="Q127" s="142"/>
      <c r="R127" s="142"/>
      <c r="S127" s="142">
        <v>0</v>
      </c>
      <c r="T127" s="33">
        <v>0</v>
      </c>
      <c r="U127" s="34">
        <v>0</v>
      </c>
      <c r="V127" s="35">
        <f t="shared" si="8"/>
        <v>0</v>
      </c>
    </row>
    <row r="128" spans="1:22" ht="15.75" thickBot="1" x14ac:dyDescent="0.3">
      <c r="A128" s="21">
        <v>124</v>
      </c>
      <c r="B128" s="150">
        <f>'X. Satser pensjonstilskudd'!B128</f>
        <v>0</v>
      </c>
      <c r="C128" s="18">
        <f>'X. Satser pensjonstilskudd'!C128</f>
        <v>0</v>
      </c>
      <c r="D128" s="18" t="str">
        <f>IFERROR(_xlfn.XLOOKUP($C128,factPensjon[Virksomhetsnr.],factPensjon[Forpliktelser]),"")</f>
        <v/>
      </c>
      <c r="E128" s="19">
        <f>SUMIFS(BasilRadata[Heltidsplasser
0-2],BasilRadata[År],'0. Oppsett'!$C$8,BasilRadata[1B. Organisasjonsnummer:],$C128)</f>
        <v>0</v>
      </c>
      <c r="F128" s="25">
        <f>'4. Selvkost og satser'!$B$54</f>
        <v>288170.9461329499</v>
      </c>
      <c r="G128" s="19">
        <f>SUMIFS(BasilRadata[Heltidsplasser
3-6],BasilRadata[År],'0. Oppsett'!$C$8,BasilRadata[1B. Organisasjonsnummer:],$C128)</f>
        <v>0</v>
      </c>
      <c r="H128" s="25">
        <f>'4. Selvkost og satser'!$B$55</f>
        <v>156604.23359926464</v>
      </c>
      <c r="I128" s="26">
        <f t="shared" si="5"/>
        <v>0</v>
      </c>
      <c r="J128" s="20">
        <f>SUMIFS(BasilRadata[8E. Oppgi antall årsverk barnehagen har pensjonsforpliktelser for:],'1. BASIL-rådata'!$I$3:$I$500,'X. Satser pensjonstilskudd'!$C128,BasilRadata[År],'0. Oppsett'!$C$8)</f>
        <v>0</v>
      </c>
      <c r="K128" s="30">
        <f>IFERROR(IF(OR(#REF!="",#REF!=""),0,J128*#REF!*#REF!*(1+'0. Oppsett'!$C$11)),0)</f>
        <v>0</v>
      </c>
      <c r="L128" s="95">
        <f t="shared" si="6"/>
        <v>0</v>
      </c>
      <c r="M128" s="31">
        <f t="shared" si="7"/>
        <v>0</v>
      </c>
      <c r="N128" s="32">
        <f>IFERROR(M128*'0. Oppsett'!$C$30,0)</f>
        <v>0</v>
      </c>
      <c r="O128" s="33">
        <v>0</v>
      </c>
      <c r="P128" s="142"/>
      <c r="Q128" s="142"/>
      <c r="R128" s="142"/>
      <c r="S128" s="142">
        <v>0</v>
      </c>
      <c r="T128" s="33">
        <v>0</v>
      </c>
      <c r="U128" s="34">
        <v>0</v>
      </c>
      <c r="V128" s="35">
        <f t="shared" si="8"/>
        <v>0</v>
      </c>
    </row>
    <row r="129" spans="1:22" ht="15.75" thickBot="1" x14ac:dyDescent="0.3">
      <c r="A129" s="17">
        <v>125</v>
      </c>
      <c r="B129" s="150">
        <f>'X. Satser pensjonstilskudd'!B129</f>
        <v>0</v>
      </c>
      <c r="C129" s="18">
        <f>'X. Satser pensjonstilskudd'!C129</f>
        <v>0</v>
      </c>
      <c r="D129" s="18" t="str">
        <f>IFERROR(_xlfn.XLOOKUP($C129,factPensjon[Virksomhetsnr.],factPensjon[Forpliktelser]),"")</f>
        <v/>
      </c>
      <c r="E129" s="19">
        <f>SUMIFS(BasilRadata[Heltidsplasser
0-2],BasilRadata[År],'0. Oppsett'!$C$8,BasilRadata[1B. Organisasjonsnummer:],$C129)</f>
        <v>0</v>
      </c>
      <c r="F129" s="25">
        <f>'4. Selvkost og satser'!$B$54</f>
        <v>288170.9461329499</v>
      </c>
      <c r="G129" s="19">
        <f>SUMIFS(BasilRadata[Heltidsplasser
3-6],BasilRadata[År],'0. Oppsett'!$C$8,BasilRadata[1B. Organisasjonsnummer:],$C129)</f>
        <v>0</v>
      </c>
      <c r="H129" s="25">
        <f>'4. Selvkost og satser'!$B$55</f>
        <v>156604.23359926464</v>
      </c>
      <c r="I129" s="26">
        <f t="shared" si="5"/>
        <v>0</v>
      </c>
      <c r="J129" s="20">
        <f>SUMIFS(BasilRadata[8E. Oppgi antall årsverk barnehagen har pensjonsforpliktelser for:],'1. BASIL-rådata'!$I$3:$I$500,'X. Satser pensjonstilskudd'!$C129,BasilRadata[År],'0. Oppsett'!$C$8)</f>
        <v>0</v>
      </c>
      <c r="K129" s="30">
        <f>IFERROR(IF(OR(#REF!="",#REF!=""),0,J129*#REF!*#REF!*(1+'0. Oppsett'!$C$11)),0)</f>
        <v>0</v>
      </c>
      <c r="L129" s="95">
        <f t="shared" si="6"/>
        <v>0</v>
      </c>
      <c r="M129" s="31">
        <f t="shared" si="7"/>
        <v>0</v>
      </c>
      <c r="N129" s="32">
        <f>IFERROR(M129*'0. Oppsett'!$C$30,0)</f>
        <v>0</v>
      </c>
      <c r="O129" s="33">
        <v>0</v>
      </c>
      <c r="P129" s="142"/>
      <c r="Q129" s="142"/>
      <c r="R129" s="142"/>
      <c r="S129" s="142">
        <v>0</v>
      </c>
      <c r="T129" s="33">
        <v>0</v>
      </c>
      <c r="U129" s="34">
        <v>0</v>
      </c>
      <c r="V129" s="35">
        <f t="shared" si="8"/>
        <v>0</v>
      </c>
    </row>
    <row r="130" spans="1:22" ht="15.75" thickBot="1" x14ac:dyDescent="0.3">
      <c r="A130" s="21">
        <v>126</v>
      </c>
      <c r="B130" s="150">
        <f>'X. Satser pensjonstilskudd'!B130</f>
        <v>0</v>
      </c>
      <c r="C130" s="18">
        <f>'X. Satser pensjonstilskudd'!C130</f>
        <v>0</v>
      </c>
      <c r="D130" s="18" t="str">
        <f>IFERROR(_xlfn.XLOOKUP($C130,factPensjon[Virksomhetsnr.],factPensjon[Forpliktelser]),"")</f>
        <v/>
      </c>
      <c r="E130" s="19">
        <f>SUMIFS(BasilRadata[Heltidsplasser
0-2],BasilRadata[År],'0. Oppsett'!$C$8,BasilRadata[1B. Organisasjonsnummer:],$C130)</f>
        <v>0</v>
      </c>
      <c r="F130" s="25">
        <f>'4. Selvkost og satser'!$B$54</f>
        <v>288170.9461329499</v>
      </c>
      <c r="G130" s="19">
        <f>SUMIFS(BasilRadata[Heltidsplasser
3-6],BasilRadata[År],'0. Oppsett'!$C$8,BasilRadata[1B. Organisasjonsnummer:],$C130)</f>
        <v>0</v>
      </c>
      <c r="H130" s="25">
        <f>'4. Selvkost og satser'!$B$55</f>
        <v>156604.23359926464</v>
      </c>
      <c r="I130" s="26">
        <f t="shared" si="5"/>
        <v>0</v>
      </c>
      <c r="J130" s="20">
        <f>SUMIFS(BasilRadata[8E. Oppgi antall årsverk barnehagen har pensjonsforpliktelser for:],'1. BASIL-rådata'!$I$3:$I$500,'X. Satser pensjonstilskudd'!$C130,BasilRadata[År],'0. Oppsett'!$C$8)</f>
        <v>0</v>
      </c>
      <c r="K130" s="30">
        <f>IFERROR(IF(OR(#REF!="",#REF!=""),0,J130*#REF!*#REF!*(1+'0. Oppsett'!$C$11)),0)</f>
        <v>0</v>
      </c>
      <c r="L130" s="95">
        <f t="shared" si="6"/>
        <v>0</v>
      </c>
      <c r="M130" s="31">
        <f t="shared" si="7"/>
        <v>0</v>
      </c>
      <c r="N130" s="32">
        <f>IFERROR(M130*'0. Oppsett'!$C$30,0)</f>
        <v>0</v>
      </c>
      <c r="O130" s="33">
        <v>0</v>
      </c>
      <c r="P130" s="142"/>
      <c r="Q130" s="142"/>
      <c r="R130" s="142"/>
      <c r="S130" s="142">
        <v>0</v>
      </c>
      <c r="T130" s="33">
        <v>0</v>
      </c>
      <c r="U130" s="34">
        <v>0</v>
      </c>
      <c r="V130" s="35">
        <f t="shared" si="8"/>
        <v>0</v>
      </c>
    </row>
    <row r="131" spans="1:22" ht="15.75" thickBot="1" x14ac:dyDescent="0.3">
      <c r="A131" s="17">
        <v>127</v>
      </c>
      <c r="B131" s="150">
        <f>'X. Satser pensjonstilskudd'!B131</f>
        <v>0</v>
      </c>
      <c r="C131" s="18">
        <f>'X. Satser pensjonstilskudd'!C131</f>
        <v>0</v>
      </c>
      <c r="D131" s="18" t="str">
        <f>IFERROR(_xlfn.XLOOKUP($C131,factPensjon[Virksomhetsnr.],factPensjon[Forpliktelser]),"")</f>
        <v/>
      </c>
      <c r="E131" s="19">
        <f>SUMIFS(BasilRadata[Heltidsplasser
0-2],BasilRadata[År],'0. Oppsett'!$C$8,BasilRadata[1B. Organisasjonsnummer:],$C131)</f>
        <v>0</v>
      </c>
      <c r="F131" s="25">
        <f>'4. Selvkost og satser'!$B$54</f>
        <v>288170.9461329499</v>
      </c>
      <c r="G131" s="19">
        <f>SUMIFS(BasilRadata[Heltidsplasser
3-6],BasilRadata[År],'0. Oppsett'!$C$8,BasilRadata[1B. Organisasjonsnummer:],$C131)</f>
        <v>0</v>
      </c>
      <c r="H131" s="25">
        <f>'4. Selvkost og satser'!$B$55</f>
        <v>156604.23359926464</v>
      </c>
      <c r="I131" s="26">
        <f t="shared" si="5"/>
        <v>0</v>
      </c>
      <c r="J131" s="20">
        <f>SUMIFS(BasilRadata[8E. Oppgi antall årsverk barnehagen har pensjonsforpliktelser for:],'1. BASIL-rådata'!$I$3:$I$500,'X. Satser pensjonstilskudd'!$C131,BasilRadata[År],'0. Oppsett'!$C$8)</f>
        <v>0</v>
      </c>
      <c r="K131" s="30">
        <f>IFERROR(IF(OR(#REF!="",#REF!=""),0,J131*#REF!*#REF!*(1+'0. Oppsett'!$C$11)),0)</f>
        <v>0</v>
      </c>
      <c r="L131" s="95">
        <f t="shared" si="6"/>
        <v>0</v>
      </c>
      <c r="M131" s="31">
        <f t="shared" si="7"/>
        <v>0</v>
      </c>
      <c r="N131" s="32">
        <f>IFERROR(M131*'0. Oppsett'!$C$30,0)</f>
        <v>0</v>
      </c>
      <c r="O131" s="33">
        <v>0</v>
      </c>
      <c r="P131" s="142"/>
      <c r="Q131" s="142"/>
      <c r="R131" s="142"/>
      <c r="S131" s="142">
        <v>0</v>
      </c>
      <c r="T131" s="33">
        <v>0</v>
      </c>
      <c r="U131" s="34">
        <v>0</v>
      </c>
      <c r="V131" s="35">
        <f t="shared" si="8"/>
        <v>0</v>
      </c>
    </row>
    <row r="132" spans="1:22" ht="15.75" thickBot="1" x14ac:dyDescent="0.3">
      <c r="A132" s="21">
        <v>128</v>
      </c>
      <c r="B132" s="150">
        <f>'X. Satser pensjonstilskudd'!B132</f>
        <v>0</v>
      </c>
      <c r="C132" s="18">
        <f>'X. Satser pensjonstilskudd'!C132</f>
        <v>0</v>
      </c>
      <c r="D132" s="18" t="str">
        <f>IFERROR(_xlfn.XLOOKUP($C132,factPensjon[Virksomhetsnr.],factPensjon[Forpliktelser]),"")</f>
        <v/>
      </c>
      <c r="E132" s="19">
        <f>SUMIFS(BasilRadata[Heltidsplasser
0-2],BasilRadata[År],'0. Oppsett'!$C$8,BasilRadata[1B. Organisasjonsnummer:],$C132)</f>
        <v>0</v>
      </c>
      <c r="F132" s="25">
        <f>'4. Selvkost og satser'!$B$54</f>
        <v>288170.9461329499</v>
      </c>
      <c r="G132" s="19">
        <f>SUMIFS(BasilRadata[Heltidsplasser
3-6],BasilRadata[År],'0. Oppsett'!$C$8,BasilRadata[1B. Organisasjonsnummer:],$C132)</f>
        <v>0</v>
      </c>
      <c r="H132" s="25">
        <f>'4. Selvkost og satser'!$B$55</f>
        <v>156604.23359926464</v>
      </c>
      <c r="I132" s="26">
        <f t="shared" si="5"/>
        <v>0</v>
      </c>
      <c r="J132" s="20">
        <f>SUMIFS(BasilRadata[8E. Oppgi antall årsverk barnehagen har pensjonsforpliktelser for:],'1. BASIL-rådata'!$I$3:$I$500,'X. Satser pensjonstilskudd'!$C132,BasilRadata[År],'0. Oppsett'!$C$8)</f>
        <v>0</v>
      </c>
      <c r="K132" s="30">
        <f>IFERROR(IF(OR(#REF!="",#REF!=""),0,J132*#REF!*#REF!*(1+'0. Oppsett'!$C$11)),0)</f>
        <v>0</v>
      </c>
      <c r="L132" s="95">
        <f t="shared" si="6"/>
        <v>0</v>
      </c>
      <c r="M132" s="31">
        <f t="shared" si="7"/>
        <v>0</v>
      </c>
      <c r="N132" s="32">
        <f>IFERROR(M132*'0. Oppsett'!$C$30,0)</f>
        <v>0</v>
      </c>
      <c r="O132" s="33">
        <v>0</v>
      </c>
      <c r="P132" s="142"/>
      <c r="Q132" s="142"/>
      <c r="R132" s="142"/>
      <c r="S132" s="142">
        <v>0</v>
      </c>
      <c r="T132" s="33">
        <v>0</v>
      </c>
      <c r="U132" s="34">
        <v>0</v>
      </c>
      <c r="V132" s="35">
        <f t="shared" si="8"/>
        <v>0</v>
      </c>
    </row>
    <row r="133" spans="1:22" ht="15.75" thickBot="1" x14ac:dyDescent="0.3">
      <c r="A133" s="17">
        <v>129</v>
      </c>
      <c r="B133" s="150">
        <f>'X. Satser pensjonstilskudd'!B133</f>
        <v>0</v>
      </c>
      <c r="C133" s="18">
        <f>'X. Satser pensjonstilskudd'!C133</f>
        <v>0</v>
      </c>
      <c r="D133" s="18" t="str">
        <f>IFERROR(_xlfn.XLOOKUP($C133,factPensjon[Virksomhetsnr.],factPensjon[Forpliktelser]),"")</f>
        <v/>
      </c>
      <c r="E133" s="19">
        <f>SUMIFS(BasilRadata[Heltidsplasser
0-2],BasilRadata[År],'0. Oppsett'!$C$8,BasilRadata[1B. Organisasjonsnummer:],$C133)</f>
        <v>0</v>
      </c>
      <c r="F133" s="25">
        <f>'4. Selvkost og satser'!$B$54</f>
        <v>288170.9461329499</v>
      </c>
      <c r="G133" s="19">
        <f>SUMIFS(BasilRadata[Heltidsplasser
3-6],BasilRadata[År],'0. Oppsett'!$C$8,BasilRadata[1B. Organisasjonsnummer:],$C133)</f>
        <v>0</v>
      </c>
      <c r="H133" s="25">
        <f>'4. Selvkost og satser'!$B$55</f>
        <v>156604.23359926464</v>
      </c>
      <c r="I133" s="26">
        <f t="shared" ref="I133:I196" si="9">IFERROR(IF(B133="",0,E133*F133+G133*H133),0)</f>
        <v>0</v>
      </c>
      <c r="J133" s="20">
        <f>SUMIFS(BasilRadata[8E. Oppgi antall årsverk barnehagen har pensjonsforpliktelser for:],'1. BASIL-rådata'!$I$3:$I$500,'X. Satser pensjonstilskudd'!$C133,BasilRadata[År],'0. Oppsett'!$C$8)</f>
        <v>0</v>
      </c>
      <c r="K133" s="30">
        <f>IFERROR(IF(OR(#REF!="",#REF!=""),0,J133*#REF!*#REF!*(1+'0. Oppsett'!$C$11)),0)</f>
        <v>0</v>
      </c>
      <c r="L133" s="95">
        <f t="shared" ref="L133:L196" si="10">K133*J133</f>
        <v>0</v>
      </c>
      <c r="M133" s="31">
        <f t="shared" ref="M133:M196" si="11">E133+G133</f>
        <v>0</v>
      </c>
      <c r="N133" s="32">
        <f>IFERROR(M133*'0. Oppsett'!$C$30,0)</f>
        <v>0</v>
      </c>
      <c r="O133" s="33">
        <v>0</v>
      </c>
      <c r="P133" s="142"/>
      <c r="Q133" s="142"/>
      <c r="R133" s="142"/>
      <c r="S133" s="142">
        <v>0</v>
      </c>
      <c r="T133" s="33">
        <v>0</v>
      </c>
      <c r="U133" s="34">
        <v>0</v>
      </c>
      <c r="V133" s="35">
        <f t="shared" si="8"/>
        <v>0</v>
      </c>
    </row>
    <row r="134" spans="1:22" ht="15.75" thickBot="1" x14ac:dyDescent="0.3">
      <c r="A134" s="21">
        <v>130</v>
      </c>
      <c r="B134" s="150">
        <f>'X. Satser pensjonstilskudd'!B134</f>
        <v>0</v>
      </c>
      <c r="C134" s="18">
        <f>'X. Satser pensjonstilskudd'!C134</f>
        <v>0</v>
      </c>
      <c r="D134" s="18" t="str">
        <f>IFERROR(_xlfn.XLOOKUP($C134,factPensjon[Virksomhetsnr.],factPensjon[Forpliktelser]),"")</f>
        <v/>
      </c>
      <c r="E134" s="19">
        <f>SUMIFS(BasilRadata[Heltidsplasser
0-2],BasilRadata[År],'0. Oppsett'!$C$8,BasilRadata[1B. Organisasjonsnummer:],$C134)</f>
        <v>0</v>
      </c>
      <c r="F134" s="25">
        <f>'4. Selvkost og satser'!$B$54</f>
        <v>288170.9461329499</v>
      </c>
      <c r="G134" s="19">
        <f>SUMIFS(BasilRadata[Heltidsplasser
3-6],BasilRadata[År],'0. Oppsett'!$C$8,BasilRadata[1B. Organisasjonsnummer:],$C134)</f>
        <v>0</v>
      </c>
      <c r="H134" s="25">
        <f>'4. Selvkost og satser'!$B$55</f>
        <v>156604.23359926464</v>
      </c>
      <c r="I134" s="26">
        <f t="shared" si="9"/>
        <v>0</v>
      </c>
      <c r="J134" s="20">
        <f>SUMIFS(BasilRadata[8E. Oppgi antall årsverk barnehagen har pensjonsforpliktelser for:],'1. BASIL-rådata'!$I$3:$I$500,'X. Satser pensjonstilskudd'!$C134,BasilRadata[År],'0. Oppsett'!$C$8)</f>
        <v>0</v>
      </c>
      <c r="K134" s="30">
        <f>IFERROR(IF(OR(#REF!="",#REF!=""),0,J134*#REF!*#REF!*(1+'0. Oppsett'!$C$11)),0)</f>
        <v>0</v>
      </c>
      <c r="L134" s="95">
        <f t="shared" si="10"/>
        <v>0</v>
      </c>
      <c r="M134" s="31">
        <f t="shared" si="11"/>
        <v>0</v>
      </c>
      <c r="N134" s="32">
        <f>IFERROR(M134*'0. Oppsett'!$C$30,0)</f>
        <v>0</v>
      </c>
      <c r="O134" s="33">
        <v>0</v>
      </c>
      <c r="P134" s="142"/>
      <c r="Q134" s="142"/>
      <c r="R134" s="142"/>
      <c r="S134" s="142">
        <v>0</v>
      </c>
      <c r="T134" s="33">
        <v>0</v>
      </c>
      <c r="U134" s="34">
        <v>0</v>
      </c>
      <c r="V134" s="35">
        <f t="shared" si="8"/>
        <v>0</v>
      </c>
    </row>
    <row r="135" spans="1:22" ht="15.75" thickBot="1" x14ac:dyDescent="0.3">
      <c r="A135" s="17">
        <v>131</v>
      </c>
      <c r="B135" s="150">
        <f>'X. Satser pensjonstilskudd'!B135</f>
        <v>0</v>
      </c>
      <c r="C135" s="18">
        <f>'X. Satser pensjonstilskudd'!C135</f>
        <v>0</v>
      </c>
      <c r="D135" s="18" t="str">
        <f>IFERROR(_xlfn.XLOOKUP($C135,factPensjon[Virksomhetsnr.],factPensjon[Forpliktelser]),"")</f>
        <v/>
      </c>
      <c r="E135" s="19">
        <f>SUMIFS(BasilRadata[Heltidsplasser
0-2],BasilRadata[År],'0. Oppsett'!$C$8,BasilRadata[1B. Organisasjonsnummer:],$C135)</f>
        <v>0</v>
      </c>
      <c r="F135" s="25">
        <f>'4. Selvkost og satser'!$B$54</f>
        <v>288170.9461329499</v>
      </c>
      <c r="G135" s="19">
        <f>SUMIFS(BasilRadata[Heltidsplasser
3-6],BasilRadata[År],'0. Oppsett'!$C$8,BasilRadata[1B. Organisasjonsnummer:],$C135)</f>
        <v>0</v>
      </c>
      <c r="H135" s="25">
        <f>'4. Selvkost og satser'!$B$55</f>
        <v>156604.23359926464</v>
      </c>
      <c r="I135" s="26">
        <f t="shared" si="9"/>
        <v>0</v>
      </c>
      <c r="J135" s="20">
        <f>SUMIFS(BasilRadata[8E. Oppgi antall årsverk barnehagen har pensjonsforpliktelser for:],'1. BASIL-rådata'!$I$3:$I$500,'X. Satser pensjonstilskudd'!$C135,BasilRadata[År],'0. Oppsett'!$C$8)</f>
        <v>0</v>
      </c>
      <c r="K135" s="30">
        <f>IFERROR(IF(OR(#REF!="",#REF!=""),0,J135*#REF!*#REF!*(1+'0. Oppsett'!$C$11)),0)</f>
        <v>0</v>
      </c>
      <c r="L135" s="95">
        <f t="shared" si="10"/>
        <v>0</v>
      </c>
      <c r="M135" s="31">
        <f t="shared" si="11"/>
        <v>0</v>
      </c>
      <c r="N135" s="32">
        <f>IFERROR(M135*'0. Oppsett'!$C$30,0)</f>
        <v>0</v>
      </c>
      <c r="O135" s="33">
        <v>0</v>
      </c>
      <c r="P135" s="142"/>
      <c r="Q135" s="142"/>
      <c r="R135" s="142"/>
      <c r="S135" s="142">
        <v>0</v>
      </c>
      <c r="T135" s="33">
        <v>0</v>
      </c>
      <c r="U135" s="34">
        <v>0</v>
      </c>
      <c r="V135" s="35">
        <f t="shared" si="8"/>
        <v>0</v>
      </c>
    </row>
    <row r="136" spans="1:22" ht="15.75" thickBot="1" x14ac:dyDescent="0.3">
      <c r="A136" s="21">
        <v>132</v>
      </c>
      <c r="B136" s="150">
        <f>'X. Satser pensjonstilskudd'!B136</f>
        <v>0</v>
      </c>
      <c r="C136" s="18">
        <f>'X. Satser pensjonstilskudd'!C136</f>
        <v>0</v>
      </c>
      <c r="D136" s="18" t="str">
        <f>IFERROR(_xlfn.XLOOKUP($C136,factPensjon[Virksomhetsnr.],factPensjon[Forpliktelser]),"")</f>
        <v/>
      </c>
      <c r="E136" s="19">
        <f>SUMIFS(BasilRadata[Heltidsplasser
0-2],BasilRadata[År],'0. Oppsett'!$C$8,BasilRadata[1B. Organisasjonsnummer:],$C136)</f>
        <v>0</v>
      </c>
      <c r="F136" s="25">
        <f>'4. Selvkost og satser'!$B$54</f>
        <v>288170.9461329499</v>
      </c>
      <c r="G136" s="19">
        <f>SUMIFS(BasilRadata[Heltidsplasser
3-6],BasilRadata[År],'0. Oppsett'!$C$8,BasilRadata[1B. Organisasjonsnummer:],$C136)</f>
        <v>0</v>
      </c>
      <c r="H136" s="25">
        <f>'4. Selvkost og satser'!$B$55</f>
        <v>156604.23359926464</v>
      </c>
      <c r="I136" s="26">
        <f t="shared" si="9"/>
        <v>0</v>
      </c>
      <c r="J136" s="20">
        <f>SUMIFS(BasilRadata[8E. Oppgi antall årsverk barnehagen har pensjonsforpliktelser for:],'1. BASIL-rådata'!$I$3:$I$500,'X. Satser pensjonstilskudd'!$C136,BasilRadata[År],'0. Oppsett'!$C$8)</f>
        <v>0</v>
      </c>
      <c r="K136" s="30">
        <f>IFERROR(IF(OR(#REF!="",#REF!=""),0,J136*#REF!*#REF!*(1+'0. Oppsett'!$C$11)),0)</f>
        <v>0</v>
      </c>
      <c r="L136" s="95">
        <f t="shared" si="10"/>
        <v>0</v>
      </c>
      <c r="M136" s="31">
        <f t="shared" si="11"/>
        <v>0</v>
      </c>
      <c r="N136" s="32">
        <f>IFERROR(M136*'0. Oppsett'!$C$30,0)</f>
        <v>0</v>
      </c>
      <c r="O136" s="33">
        <v>0</v>
      </c>
      <c r="P136" s="142"/>
      <c r="Q136" s="142"/>
      <c r="R136" s="142"/>
      <c r="S136" s="142">
        <v>0</v>
      </c>
      <c r="T136" s="33">
        <v>0</v>
      </c>
      <c r="U136" s="34">
        <v>0</v>
      </c>
      <c r="V136" s="35">
        <f t="shared" si="8"/>
        <v>0</v>
      </c>
    </row>
    <row r="137" spans="1:22" ht="15.75" thickBot="1" x14ac:dyDescent="0.3">
      <c r="A137" s="17">
        <v>133</v>
      </c>
      <c r="B137" s="150">
        <f>'X. Satser pensjonstilskudd'!B137</f>
        <v>0</v>
      </c>
      <c r="C137" s="18">
        <f>'X. Satser pensjonstilskudd'!C137</f>
        <v>0</v>
      </c>
      <c r="D137" s="18" t="str">
        <f>IFERROR(_xlfn.XLOOKUP($C137,factPensjon[Virksomhetsnr.],factPensjon[Forpliktelser]),"")</f>
        <v/>
      </c>
      <c r="E137" s="19">
        <f>SUMIFS(BasilRadata[Heltidsplasser
0-2],BasilRadata[År],'0. Oppsett'!$C$8,BasilRadata[1B. Organisasjonsnummer:],$C137)</f>
        <v>0</v>
      </c>
      <c r="F137" s="25">
        <f>'4. Selvkost og satser'!$B$54</f>
        <v>288170.9461329499</v>
      </c>
      <c r="G137" s="19">
        <f>SUMIFS(BasilRadata[Heltidsplasser
3-6],BasilRadata[År],'0. Oppsett'!$C$8,BasilRadata[1B. Organisasjonsnummer:],$C137)</f>
        <v>0</v>
      </c>
      <c r="H137" s="25">
        <f>'4. Selvkost og satser'!$B$55</f>
        <v>156604.23359926464</v>
      </c>
      <c r="I137" s="26">
        <f t="shared" si="9"/>
        <v>0</v>
      </c>
      <c r="J137" s="20">
        <f>SUMIFS(BasilRadata[8E. Oppgi antall årsverk barnehagen har pensjonsforpliktelser for:],'1. BASIL-rådata'!$I$3:$I$500,'X. Satser pensjonstilskudd'!$C137,BasilRadata[År],'0. Oppsett'!$C$8)</f>
        <v>0</v>
      </c>
      <c r="K137" s="30">
        <f>IFERROR(IF(OR(#REF!="",#REF!=""),0,J137*#REF!*#REF!*(1+'0. Oppsett'!$C$11)),0)</f>
        <v>0</v>
      </c>
      <c r="L137" s="95">
        <f t="shared" si="10"/>
        <v>0</v>
      </c>
      <c r="M137" s="31">
        <f t="shared" si="11"/>
        <v>0</v>
      </c>
      <c r="N137" s="32">
        <f>IFERROR(M137*'0. Oppsett'!$C$30,0)</f>
        <v>0</v>
      </c>
      <c r="O137" s="33">
        <v>0</v>
      </c>
      <c r="P137" s="142"/>
      <c r="Q137" s="142"/>
      <c r="R137" s="142"/>
      <c r="S137" s="142">
        <v>0</v>
      </c>
      <c r="T137" s="33">
        <v>0</v>
      </c>
      <c r="U137" s="34">
        <v>0</v>
      </c>
      <c r="V137" s="35">
        <f t="shared" si="8"/>
        <v>0</v>
      </c>
    </row>
    <row r="138" spans="1:22" ht="15.75" thickBot="1" x14ac:dyDescent="0.3">
      <c r="A138" s="21">
        <v>134</v>
      </c>
      <c r="B138" s="150">
        <f>'X. Satser pensjonstilskudd'!B138</f>
        <v>0</v>
      </c>
      <c r="C138" s="18">
        <f>'X. Satser pensjonstilskudd'!C138</f>
        <v>0</v>
      </c>
      <c r="D138" s="18" t="str">
        <f>IFERROR(_xlfn.XLOOKUP($C138,factPensjon[Virksomhetsnr.],factPensjon[Forpliktelser]),"")</f>
        <v/>
      </c>
      <c r="E138" s="19">
        <f>SUMIFS(BasilRadata[Heltidsplasser
0-2],BasilRadata[År],'0. Oppsett'!$C$8,BasilRadata[1B. Organisasjonsnummer:],$C138)</f>
        <v>0</v>
      </c>
      <c r="F138" s="25">
        <f>'4. Selvkost og satser'!$B$54</f>
        <v>288170.9461329499</v>
      </c>
      <c r="G138" s="19">
        <f>SUMIFS(BasilRadata[Heltidsplasser
3-6],BasilRadata[År],'0. Oppsett'!$C$8,BasilRadata[1B. Organisasjonsnummer:],$C138)</f>
        <v>0</v>
      </c>
      <c r="H138" s="25">
        <f>'4. Selvkost og satser'!$B$55</f>
        <v>156604.23359926464</v>
      </c>
      <c r="I138" s="26">
        <f t="shared" si="9"/>
        <v>0</v>
      </c>
      <c r="J138" s="20">
        <f>SUMIFS(BasilRadata[8E. Oppgi antall årsverk barnehagen har pensjonsforpliktelser for:],'1. BASIL-rådata'!$I$3:$I$500,'X. Satser pensjonstilskudd'!$C138,BasilRadata[År],'0. Oppsett'!$C$8)</f>
        <v>0</v>
      </c>
      <c r="K138" s="30">
        <f>IFERROR(IF(OR(#REF!="",#REF!=""),0,J138*#REF!*#REF!*(1+'0. Oppsett'!$C$11)),0)</f>
        <v>0</v>
      </c>
      <c r="L138" s="95">
        <f t="shared" si="10"/>
        <v>0</v>
      </c>
      <c r="M138" s="31">
        <f t="shared" si="11"/>
        <v>0</v>
      </c>
      <c r="N138" s="32">
        <f>IFERROR(M138*'0. Oppsett'!$C$30,0)</f>
        <v>0</v>
      </c>
      <c r="O138" s="33">
        <v>0</v>
      </c>
      <c r="P138" s="142"/>
      <c r="Q138" s="142"/>
      <c r="R138" s="142"/>
      <c r="S138" s="142">
        <v>0</v>
      </c>
      <c r="T138" s="33">
        <v>0</v>
      </c>
      <c r="U138" s="34">
        <v>0</v>
      </c>
      <c r="V138" s="35">
        <f t="shared" si="8"/>
        <v>0</v>
      </c>
    </row>
    <row r="139" spans="1:22" ht="15.75" thickBot="1" x14ac:dyDescent="0.3">
      <c r="A139" s="17">
        <v>135</v>
      </c>
      <c r="B139" s="150">
        <f>'X. Satser pensjonstilskudd'!B139</f>
        <v>0</v>
      </c>
      <c r="C139" s="18">
        <f>'X. Satser pensjonstilskudd'!C139</f>
        <v>0</v>
      </c>
      <c r="D139" s="18" t="str">
        <f>IFERROR(_xlfn.XLOOKUP($C139,factPensjon[Virksomhetsnr.],factPensjon[Forpliktelser]),"")</f>
        <v/>
      </c>
      <c r="E139" s="19">
        <f>SUMIFS(BasilRadata[Heltidsplasser
0-2],BasilRadata[År],'0. Oppsett'!$C$8,BasilRadata[1B. Organisasjonsnummer:],$C139)</f>
        <v>0</v>
      </c>
      <c r="F139" s="25">
        <f>'4. Selvkost og satser'!$B$54</f>
        <v>288170.9461329499</v>
      </c>
      <c r="G139" s="19">
        <f>SUMIFS(BasilRadata[Heltidsplasser
3-6],BasilRadata[År],'0. Oppsett'!$C$8,BasilRadata[1B. Organisasjonsnummer:],$C139)</f>
        <v>0</v>
      </c>
      <c r="H139" s="25">
        <f>'4. Selvkost og satser'!$B$55</f>
        <v>156604.23359926464</v>
      </c>
      <c r="I139" s="26">
        <f t="shared" si="9"/>
        <v>0</v>
      </c>
      <c r="J139" s="20">
        <f>SUMIFS(BasilRadata[8E. Oppgi antall årsverk barnehagen har pensjonsforpliktelser for:],'1. BASIL-rådata'!$I$3:$I$500,'X. Satser pensjonstilskudd'!$C139,BasilRadata[År],'0. Oppsett'!$C$8)</f>
        <v>0</v>
      </c>
      <c r="K139" s="30">
        <f>IFERROR(IF(OR(#REF!="",#REF!=""),0,J139*#REF!*#REF!*(1+'0. Oppsett'!$C$11)),0)</f>
        <v>0</v>
      </c>
      <c r="L139" s="95">
        <f t="shared" si="10"/>
        <v>0</v>
      </c>
      <c r="M139" s="31">
        <f t="shared" si="11"/>
        <v>0</v>
      </c>
      <c r="N139" s="32">
        <f>IFERROR(M139*'0. Oppsett'!$C$30,0)</f>
        <v>0</v>
      </c>
      <c r="O139" s="33">
        <v>0</v>
      </c>
      <c r="P139" s="142"/>
      <c r="Q139" s="142"/>
      <c r="R139" s="142"/>
      <c r="S139" s="142">
        <v>0</v>
      </c>
      <c r="T139" s="33">
        <v>0</v>
      </c>
      <c r="U139" s="34">
        <v>0</v>
      </c>
      <c r="V139" s="35">
        <f t="shared" ref="V139:V202" si="12">IFERROR(IF(B139="",0,I139+K139+N139+O139+T139+U139),0)</f>
        <v>0</v>
      </c>
    </row>
    <row r="140" spans="1:22" ht="15.75" thickBot="1" x14ac:dyDescent="0.3">
      <c r="A140" s="21">
        <v>136</v>
      </c>
      <c r="B140" s="150">
        <f>'X. Satser pensjonstilskudd'!B140</f>
        <v>0</v>
      </c>
      <c r="C140" s="18">
        <f>'X. Satser pensjonstilskudd'!C140</f>
        <v>0</v>
      </c>
      <c r="D140" s="18" t="str">
        <f>IFERROR(_xlfn.XLOOKUP($C140,factPensjon[Virksomhetsnr.],factPensjon[Forpliktelser]),"")</f>
        <v/>
      </c>
      <c r="E140" s="19">
        <f>SUMIFS(BasilRadata[Heltidsplasser
0-2],BasilRadata[År],'0. Oppsett'!$C$8,BasilRadata[1B. Organisasjonsnummer:],$C140)</f>
        <v>0</v>
      </c>
      <c r="F140" s="25">
        <f>'4. Selvkost og satser'!$B$54</f>
        <v>288170.9461329499</v>
      </c>
      <c r="G140" s="19">
        <f>SUMIFS(BasilRadata[Heltidsplasser
3-6],BasilRadata[År],'0. Oppsett'!$C$8,BasilRadata[1B. Organisasjonsnummer:],$C140)</f>
        <v>0</v>
      </c>
      <c r="H140" s="25">
        <f>'4. Selvkost og satser'!$B$55</f>
        <v>156604.23359926464</v>
      </c>
      <c r="I140" s="26">
        <f t="shared" si="9"/>
        <v>0</v>
      </c>
      <c r="J140" s="20">
        <f>SUMIFS(BasilRadata[8E. Oppgi antall årsverk barnehagen har pensjonsforpliktelser for:],'1. BASIL-rådata'!$I$3:$I$500,'X. Satser pensjonstilskudd'!$C140,BasilRadata[År],'0. Oppsett'!$C$8)</f>
        <v>0</v>
      </c>
      <c r="K140" s="30">
        <f>IFERROR(IF(OR(#REF!="",#REF!=""),0,J140*#REF!*#REF!*(1+'0. Oppsett'!$C$11)),0)</f>
        <v>0</v>
      </c>
      <c r="L140" s="95">
        <f t="shared" si="10"/>
        <v>0</v>
      </c>
      <c r="M140" s="31">
        <f t="shared" si="11"/>
        <v>0</v>
      </c>
      <c r="N140" s="32">
        <f>IFERROR(M140*'0. Oppsett'!$C$30,0)</f>
        <v>0</v>
      </c>
      <c r="O140" s="33">
        <v>0</v>
      </c>
      <c r="P140" s="142"/>
      <c r="Q140" s="142"/>
      <c r="R140" s="142"/>
      <c r="S140" s="142">
        <v>0</v>
      </c>
      <c r="T140" s="33">
        <v>0</v>
      </c>
      <c r="U140" s="34">
        <v>0</v>
      </c>
      <c r="V140" s="35">
        <f t="shared" si="12"/>
        <v>0</v>
      </c>
    </row>
    <row r="141" spans="1:22" ht="15.75" thickBot="1" x14ac:dyDescent="0.3">
      <c r="A141" s="17">
        <v>137</v>
      </c>
      <c r="B141" s="150">
        <f>'X. Satser pensjonstilskudd'!B141</f>
        <v>0</v>
      </c>
      <c r="C141" s="18">
        <f>'X. Satser pensjonstilskudd'!C141</f>
        <v>0</v>
      </c>
      <c r="D141" s="18" t="str">
        <f>IFERROR(_xlfn.XLOOKUP($C141,factPensjon[Virksomhetsnr.],factPensjon[Forpliktelser]),"")</f>
        <v/>
      </c>
      <c r="E141" s="19">
        <f>SUMIFS(BasilRadata[Heltidsplasser
0-2],BasilRadata[År],'0. Oppsett'!$C$8,BasilRadata[1B. Organisasjonsnummer:],$C141)</f>
        <v>0</v>
      </c>
      <c r="F141" s="25">
        <f>'4. Selvkost og satser'!$B$54</f>
        <v>288170.9461329499</v>
      </c>
      <c r="G141" s="19">
        <f>SUMIFS(BasilRadata[Heltidsplasser
3-6],BasilRadata[År],'0. Oppsett'!$C$8,BasilRadata[1B. Organisasjonsnummer:],$C141)</f>
        <v>0</v>
      </c>
      <c r="H141" s="25">
        <f>'4. Selvkost og satser'!$B$55</f>
        <v>156604.23359926464</v>
      </c>
      <c r="I141" s="26">
        <f t="shared" si="9"/>
        <v>0</v>
      </c>
      <c r="J141" s="20">
        <f>SUMIFS(BasilRadata[8E. Oppgi antall årsverk barnehagen har pensjonsforpliktelser for:],'1. BASIL-rådata'!$I$3:$I$500,'X. Satser pensjonstilskudd'!$C141,BasilRadata[År],'0. Oppsett'!$C$8)</f>
        <v>0</v>
      </c>
      <c r="K141" s="30">
        <f>IFERROR(IF(OR(#REF!="",#REF!=""),0,J141*#REF!*#REF!*(1+'0. Oppsett'!$C$11)),0)</f>
        <v>0</v>
      </c>
      <c r="L141" s="95">
        <f t="shared" si="10"/>
        <v>0</v>
      </c>
      <c r="M141" s="31">
        <f t="shared" si="11"/>
        <v>0</v>
      </c>
      <c r="N141" s="32">
        <f>IFERROR(M141*'0. Oppsett'!$C$30,0)</f>
        <v>0</v>
      </c>
      <c r="O141" s="33">
        <v>0</v>
      </c>
      <c r="P141" s="142"/>
      <c r="Q141" s="142"/>
      <c r="R141" s="142"/>
      <c r="S141" s="142">
        <v>0</v>
      </c>
      <c r="T141" s="33">
        <v>0</v>
      </c>
      <c r="U141" s="34">
        <v>0</v>
      </c>
      <c r="V141" s="35">
        <f t="shared" si="12"/>
        <v>0</v>
      </c>
    </row>
    <row r="142" spans="1:22" ht="15.75" thickBot="1" x14ac:dyDescent="0.3">
      <c r="A142" s="21">
        <v>138</v>
      </c>
      <c r="B142" s="150">
        <f>'X. Satser pensjonstilskudd'!B142</f>
        <v>0</v>
      </c>
      <c r="C142" s="18">
        <f>'X. Satser pensjonstilskudd'!C142</f>
        <v>0</v>
      </c>
      <c r="D142" s="18" t="str">
        <f>IFERROR(_xlfn.XLOOKUP($C142,factPensjon[Virksomhetsnr.],factPensjon[Forpliktelser]),"")</f>
        <v/>
      </c>
      <c r="E142" s="19">
        <f>SUMIFS(BasilRadata[Heltidsplasser
0-2],BasilRadata[År],'0. Oppsett'!$C$8,BasilRadata[1B. Organisasjonsnummer:],$C142)</f>
        <v>0</v>
      </c>
      <c r="F142" s="25">
        <f>'4. Selvkost og satser'!$B$54</f>
        <v>288170.9461329499</v>
      </c>
      <c r="G142" s="19">
        <f>SUMIFS(BasilRadata[Heltidsplasser
3-6],BasilRadata[År],'0. Oppsett'!$C$8,BasilRadata[1B. Organisasjonsnummer:],$C142)</f>
        <v>0</v>
      </c>
      <c r="H142" s="25">
        <f>'4. Selvkost og satser'!$B$55</f>
        <v>156604.23359926464</v>
      </c>
      <c r="I142" s="26">
        <f t="shared" si="9"/>
        <v>0</v>
      </c>
      <c r="J142" s="20">
        <f>SUMIFS(BasilRadata[8E. Oppgi antall årsverk barnehagen har pensjonsforpliktelser for:],'1. BASIL-rådata'!$I$3:$I$500,'X. Satser pensjonstilskudd'!$C142,BasilRadata[År],'0. Oppsett'!$C$8)</f>
        <v>0</v>
      </c>
      <c r="K142" s="30">
        <f>IFERROR(IF(OR(#REF!="",#REF!=""),0,J142*#REF!*#REF!*(1+'0. Oppsett'!$C$11)),0)</f>
        <v>0</v>
      </c>
      <c r="L142" s="95">
        <f t="shared" si="10"/>
        <v>0</v>
      </c>
      <c r="M142" s="31">
        <f t="shared" si="11"/>
        <v>0</v>
      </c>
      <c r="N142" s="32">
        <f>IFERROR(M142*'0. Oppsett'!$C$30,0)</f>
        <v>0</v>
      </c>
      <c r="O142" s="33">
        <v>0</v>
      </c>
      <c r="P142" s="142"/>
      <c r="Q142" s="142"/>
      <c r="R142" s="142"/>
      <c r="S142" s="142">
        <v>0</v>
      </c>
      <c r="T142" s="33">
        <v>0</v>
      </c>
      <c r="U142" s="34">
        <v>0</v>
      </c>
      <c r="V142" s="35">
        <f t="shared" si="12"/>
        <v>0</v>
      </c>
    </row>
    <row r="143" spans="1:22" ht="15.75" thickBot="1" x14ac:dyDescent="0.3">
      <c r="A143" s="17">
        <v>139</v>
      </c>
      <c r="B143" s="150">
        <f>'X. Satser pensjonstilskudd'!B143</f>
        <v>0</v>
      </c>
      <c r="C143" s="18">
        <f>'X. Satser pensjonstilskudd'!C143</f>
        <v>0</v>
      </c>
      <c r="D143" s="18" t="str">
        <f>IFERROR(_xlfn.XLOOKUP($C143,factPensjon[Virksomhetsnr.],factPensjon[Forpliktelser]),"")</f>
        <v/>
      </c>
      <c r="E143" s="19">
        <f>SUMIFS(BasilRadata[Heltidsplasser
0-2],BasilRadata[År],'0. Oppsett'!$C$8,BasilRadata[1B. Organisasjonsnummer:],$C143)</f>
        <v>0</v>
      </c>
      <c r="F143" s="25">
        <f>'4. Selvkost og satser'!$B$54</f>
        <v>288170.9461329499</v>
      </c>
      <c r="G143" s="19">
        <f>SUMIFS(BasilRadata[Heltidsplasser
3-6],BasilRadata[År],'0. Oppsett'!$C$8,BasilRadata[1B. Organisasjonsnummer:],$C143)</f>
        <v>0</v>
      </c>
      <c r="H143" s="25">
        <f>'4. Selvkost og satser'!$B$55</f>
        <v>156604.23359926464</v>
      </c>
      <c r="I143" s="26">
        <f t="shared" si="9"/>
        <v>0</v>
      </c>
      <c r="J143" s="20">
        <f>SUMIFS(BasilRadata[8E. Oppgi antall årsverk barnehagen har pensjonsforpliktelser for:],'1. BASIL-rådata'!$I$3:$I$500,'X. Satser pensjonstilskudd'!$C143,BasilRadata[År],'0. Oppsett'!$C$8)</f>
        <v>0</v>
      </c>
      <c r="K143" s="30">
        <f>IFERROR(IF(OR(#REF!="",#REF!=""),0,J143*#REF!*#REF!*(1+'0. Oppsett'!$C$11)),0)</f>
        <v>0</v>
      </c>
      <c r="L143" s="95">
        <f t="shared" si="10"/>
        <v>0</v>
      </c>
      <c r="M143" s="31">
        <f t="shared" si="11"/>
        <v>0</v>
      </c>
      <c r="N143" s="32">
        <f>IFERROR(M143*'0. Oppsett'!$C$30,0)</f>
        <v>0</v>
      </c>
      <c r="O143" s="33">
        <v>0</v>
      </c>
      <c r="P143" s="142"/>
      <c r="Q143" s="142"/>
      <c r="R143" s="142"/>
      <c r="S143" s="142">
        <v>0</v>
      </c>
      <c r="T143" s="33">
        <v>0</v>
      </c>
      <c r="U143" s="34">
        <v>0</v>
      </c>
      <c r="V143" s="35">
        <f t="shared" si="12"/>
        <v>0</v>
      </c>
    </row>
    <row r="144" spans="1:22" ht="15.75" thickBot="1" x14ac:dyDescent="0.3">
      <c r="A144" s="21">
        <v>140</v>
      </c>
      <c r="B144" s="150">
        <f>'X. Satser pensjonstilskudd'!B144</f>
        <v>0</v>
      </c>
      <c r="C144" s="18">
        <f>'X. Satser pensjonstilskudd'!C144</f>
        <v>0</v>
      </c>
      <c r="D144" s="18" t="str">
        <f>IFERROR(_xlfn.XLOOKUP($C144,factPensjon[Virksomhetsnr.],factPensjon[Forpliktelser]),"")</f>
        <v/>
      </c>
      <c r="E144" s="19">
        <f>SUMIFS(BasilRadata[Heltidsplasser
0-2],BasilRadata[År],'0. Oppsett'!$C$8,BasilRadata[1B. Organisasjonsnummer:],$C144)</f>
        <v>0</v>
      </c>
      <c r="F144" s="25">
        <f>'4. Selvkost og satser'!$B$54</f>
        <v>288170.9461329499</v>
      </c>
      <c r="G144" s="19">
        <f>SUMIFS(BasilRadata[Heltidsplasser
3-6],BasilRadata[År],'0. Oppsett'!$C$8,BasilRadata[1B. Organisasjonsnummer:],$C144)</f>
        <v>0</v>
      </c>
      <c r="H144" s="25">
        <f>'4. Selvkost og satser'!$B$55</f>
        <v>156604.23359926464</v>
      </c>
      <c r="I144" s="26">
        <f t="shared" si="9"/>
        <v>0</v>
      </c>
      <c r="J144" s="20">
        <f>SUMIFS(BasilRadata[8E. Oppgi antall årsverk barnehagen har pensjonsforpliktelser for:],'1. BASIL-rådata'!$I$3:$I$500,'X. Satser pensjonstilskudd'!$C144,BasilRadata[År],'0. Oppsett'!$C$8)</f>
        <v>0</v>
      </c>
      <c r="K144" s="30">
        <f>IFERROR(IF(OR(#REF!="",#REF!=""),0,J144*#REF!*#REF!*(1+'0. Oppsett'!$C$11)),0)</f>
        <v>0</v>
      </c>
      <c r="L144" s="95">
        <f t="shared" si="10"/>
        <v>0</v>
      </c>
      <c r="M144" s="31">
        <f t="shared" si="11"/>
        <v>0</v>
      </c>
      <c r="N144" s="32">
        <f>IFERROR(M144*'0. Oppsett'!$C$30,0)</f>
        <v>0</v>
      </c>
      <c r="O144" s="33">
        <v>0</v>
      </c>
      <c r="P144" s="142"/>
      <c r="Q144" s="142"/>
      <c r="R144" s="142"/>
      <c r="S144" s="142">
        <v>0</v>
      </c>
      <c r="T144" s="33">
        <v>0</v>
      </c>
      <c r="U144" s="34">
        <v>0</v>
      </c>
      <c r="V144" s="35">
        <f t="shared" si="12"/>
        <v>0</v>
      </c>
    </row>
    <row r="145" spans="1:22" ht="15.75" thickBot="1" x14ac:dyDescent="0.3">
      <c r="A145" s="17">
        <v>141</v>
      </c>
      <c r="B145" s="150">
        <f>'X. Satser pensjonstilskudd'!B145</f>
        <v>0</v>
      </c>
      <c r="C145" s="18">
        <f>'X. Satser pensjonstilskudd'!C145</f>
        <v>0</v>
      </c>
      <c r="D145" s="18" t="str">
        <f>IFERROR(_xlfn.XLOOKUP($C145,factPensjon[Virksomhetsnr.],factPensjon[Forpliktelser]),"")</f>
        <v/>
      </c>
      <c r="E145" s="19">
        <f>SUMIFS(BasilRadata[Heltidsplasser
0-2],BasilRadata[År],'0. Oppsett'!$C$8,BasilRadata[1B. Organisasjonsnummer:],$C145)</f>
        <v>0</v>
      </c>
      <c r="F145" s="25">
        <f>'4. Selvkost og satser'!$B$54</f>
        <v>288170.9461329499</v>
      </c>
      <c r="G145" s="19">
        <f>SUMIFS(BasilRadata[Heltidsplasser
3-6],BasilRadata[År],'0. Oppsett'!$C$8,BasilRadata[1B. Organisasjonsnummer:],$C145)</f>
        <v>0</v>
      </c>
      <c r="H145" s="25">
        <f>'4. Selvkost og satser'!$B$55</f>
        <v>156604.23359926464</v>
      </c>
      <c r="I145" s="26">
        <f t="shared" si="9"/>
        <v>0</v>
      </c>
      <c r="J145" s="20">
        <f>SUMIFS(BasilRadata[8E. Oppgi antall årsverk barnehagen har pensjonsforpliktelser for:],'1. BASIL-rådata'!$I$3:$I$500,'X. Satser pensjonstilskudd'!$C145,BasilRadata[År],'0. Oppsett'!$C$8)</f>
        <v>0</v>
      </c>
      <c r="K145" s="30">
        <f>IFERROR(IF(OR(#REF!="",#REF!=""),0,J145*#REF!*#REF!*(1+'0. Oppsett'!$C$11)),0)</f>
        <v>0</v>
      </c>
      <c r="L145" s="95">
        <f t="shared" si="10"/>
        <v>0</v>
      </c>
      <c r="M145" s="31">
        <f t="shared" si="11"/>
        <v>0</v>
      </c>
      <c r="N145" s="32">
        <f>IFERROR(M145*'0. Oppsett'!$C$30,0)</f>
        <v>0</v>
      </c>
      <c r="O145" s="33">
        <v>0</v>
      </c>
      <c r="P145" s="142"/>
      <c r="Q145" s="142"/>
      <c r="R145" s="142"/>
      <c r="S145" s="142">
        <v>0</v>
      </c>
      <c r="T145" s="33">
        <v>0</v>
      </c>
      <c r="U145" s="34">
        <v>0</v>
      </c>
      <c r="V145" s="35">
        <f t="shared" si="12"/>
        <v>0</v>
      </c>
    </row>
    <row r="146" spans="1:22" ht="15.75" thickBot="1" x14ac:dyDescent="0.3">
      <c r="A146" s="21">
        <v>142</v>
      </c>
      <c r="B146" s="150">
        <f>'X. Satser pensjonstilskudd'!B146</f>
        <v>0</v>
      </c>
      <c r="C146" s="18">
        <f>'X. Satser pensjonstilskudd'!C146</f>
        <v>0</v>
      </c>
      <c r="D146" s="18" t="str">
        <f>IFERROR(_xlfn.XLOOKUP($C146,factPensjon[Virksomhetsnr.],factPensjon[Forpliktelser]),"")</f>
        <v/>
      </c>
      <c r="E146" s="19">
        <f>SUMIFS(BasilRadata[Heltidsplasser
0-2],BasilRadata[År],'0. Oppsett'!$C$8,BasilRadata[1B. Organisasjonsnummer:],$C146)</f>
        <v>0</v>
      </c>
      <c r="F146" s="25">
        <f>'4. Selvkost og satser'!$B$54</f>
        <v>288170.9461329499</v>
      </c>
      <c r="G146" s="19">
        <f>SUMIFS(BasilRadata[Heltidsplasser
3-6],BasilRadata[År],'0. Oppsett'!$C$8,BasilRadata[1B. Organisasjonsnummer:],$C146)</f>
        <v>0</v>
      </c>
      <c r="H146" s="25">
        <f>'4. Selvkost og satser'!$B$55</f>
        <v>156604.23359926464</v>
      </c>
      <c r="I146" s="26">
        <f t="shared" si="9"/>
        <v>0</v>
      </c>
      <c r="J146" s="20">
        <f>SUMIFS(BasilRadata[8E. Oppgi antall årsverk barnehagen har pensjonsforpliktelser for:],'1. BASIL-rådata'!$I$3:$I$500,'X. Satser pensjonstilskudd'!$C146,BasilRadata[År],'0. Oppsett'!$C$8)</f>
        <v>0</v>
      </c>
      <c r="K146" s="30">
        <f>IFERROR(IF(OR(#REF!="",#REF!=""),0,J146*#REF!*#REF!*(1+'0. Oppsett'!$C$11)),0)</f>
        <v>0</v>
      </c>
      <c r="L146" s="95">
        <f t="shared" si="10"/>
        <v>0</v>
      </c>
      <c r="M146" s="31">
        <f t="shared" si="11"/>
        <v>0</v>
      </c>
      <c r="N146" s="32">
        <f>IFERROR(M146*'0. Oppsett'!$C$30,0)</f>
        <v>0</v>
      </c>
      <c r="O146" s="33">
        <v>0</v>
      </c>
      <c r="P146" s="142"/>
      <c r="Q146" s="142"/>
      <c r="R146" s="142"/>
      <c r="S146" s="142">
        <v>0</v>
      </c>
      <c r="T146" s="33">
        <v>0</v>
      </c>
      <c r="U146" s="34">
        <v>0</v>
      </c>
      <c r="V146" s="35">
        <f t="shared" si="12"/>
        <v>0</v>
      </c>
    </row>
    <row r="147" spans="1:22" ht="15.75" thickBot="1" x14ac:dyDescent="0.3">
      <c r="A147" s="17">
        <v>143</v>
      </c>
      <c r="B147" s="150">
        <f>'X. Satser pensjonstilskudd'!B147</f>
        <v>0</v>
      </c>
      <c r="C147" s="18">
        <f>'X. Satser pensjonstilskudd'!C147</f>
        <v>0</v>
      </c>
      <c r="D147" s="18" t="str">
        <f>IFERROR(_xlfn.XLOOKUP($C147,factPensjon[Virksomhetsnr.],factPensjon[Forpliktelser]),"")</f>
        <v/>
      </c>
      <c r="E147" s="19">
        <f>SUMIFS(BasilRadata[Heltidsplasser
0-2],BasilRadata[År],'0. Oppsett'!$C$8,BasilRadata[1B. Organisasjonsnummer:],$C147)</f>
        <v>0</v>
      </c>
      <c r="F147" s="25">
        <f>'4. Selvkost og satser'!$B$54</f>
        <v>288170.9461329499</v>
      </c>
      <c r="G147" s="19">
        <f>SUMIFS(BasilRadata[Heltidsplasser
3-6],BasilRadata[År],'0. Oppsett'!$C$8,BasilRadata[1B. Organisasjonsnummer:],$C147)</f>
        <v>0</v>
      </c>
      <c r="H147" s="25">
        <f>'4. Selvkost og satser'!$B$55</f>
        <v>156604.23359926464</v>
      </c>
      <c r="I147" s="26">
        <f t="shared" si="9"/>
        <v>0</v>
      </c>
      <c r="J147" s="20">
        <f>SUMIFS(BasilRadata[8E. Oppgi antall årsverk barnehagen har pensjonsforpliktelser for:],'1. BASIL-rådata'!$I$3:$I$500,'X. Satser pensjonstilskudd'!$C147,BasilRadata[År],'0. Oppsett'!$C$8)</f>
        <v>0</v>
      </c>
      <c r="K147" s="30">
        <f>IFERROR(IF(OR(#REF!="",#REF!=""),0,J147*#REF!*#REF!*(1+'0. Oppsett'!$C$11)),0)</f>
        <v>0</v>
      </c>
      <c r="L147" s="95">
        <f t="shared" si="10"/>
        <v>0</v>
      </c>
      <c r="M147" s="31">
        <f t="shared" si="11"/>
        <v>0</v>
      </c>
      <c r="N147" s="32">
        <f>IFERROR(M147*'0. Oppsett'!$C$30,0)</f>
        <v>0</v>
      </c>
      <c r="O147" s="33">
        <v>0</v>
      </c>
      <c r="P147" s="142"/>
      <c r="Q147" s="142"/>
      <c r="R147" s="142"/>
      <c r="S147" s="142">
        <v>0</v>
      </c>
      <c r="T147" s="33">
        <v>0</v>
      </c>
      <c r="U147" s="34">
        <v>0</v>
      </c>
      <c r="V147" s="35">
        <f t="shared" si="12"/>
        <v>0</v>
      </c>
    </row>
    <row r="148" spans="1:22" ht="15.75" thickBot="1" x14ac:dyDescent="0.3">
      <c r="A148" s="21">
        <v>144</v>
      </c>
      <c r="B148" s="150">
        <f>'X. Satser pensjonstilskudd'!B148</f>
        <v>0</v>
      </c>
      <c r="C148" s="18">
        <f>'X. Satser pensjonstilskudd'!C148</f>
        <v>0</v>
      </c>
      <c r="D148" s="18" t="str">
        <f>IFERROR(_xlfn.XLOOKUP($C148,factPensjon[Virksomhetsnr.],factPensjon[Forpliktelser]),"")</f>
        <v/>
      </c>
      <c r="E148" s="19">
        <f>SUMIFS(BasilRadata[Heltidsplasser
0-2],BasilRadata[År],'0. Oppsett'!$C$8,BasilRadata[1B. Organisasjonsnummer:],$C148)</f>
        <v>0</v>
      </c>
      <c r="F148" s="25">
        <f>'4. Selvkost og satser'!$B$54</f>
        <v>288170.9461329499</v>
      </c>
      <c r="G148" s="19">
        <f>SUMIFS(BasilRadata[Heltidsplasser
3-6],BasilRadata[År],'0. Oppsett'!$C$8,BasilRadata[1B. Organisasjonsnummer:],$C148)</f>
        <v>0</v>
      </c>
      <c r="H148" s="25">
        <f>'4. Selvkost og satser'!$B$55</f>
        <v>156604.23359926464</v>
      </c>
      <c r="I148" s="26">
        <f t="shared" si="9"/>
        <v>0</v>
      </c>
      <c r="J148" s="20">
        <f>SUMIFS(BasilRadata[8E. Oppgi antall årsverk barnehagen har pensjonsforpliktelser for:],'1. BASIL-rådata'!$I$3:$I$500,'X. Satser pensjonstilskudd'!$C148,BasilRadata[År],'0. Oppsett'!$C$8)</f>
        <v>0</v>
      </c>
      <c r="K148" s="30">
        <f>IFERROR(IF(OR(#REF!="",#REF!=""),0,J148*#REF!*#REF!*(1+'0. Oppsett'!$C$11)),0)</f>
        <v>0</v>
      </c>
      <c r="L148" s="95">
        <f t="shared" si="10"/>
        <v>0</v>
      </c>
      <c r="M148" s="31">
        <f t="shared" si="11"/>
        <v>0</v>
      </c>
      <c r="N148" s="32">
        <f>IFERROR(M148*'0. Oppsett'!$C$30,0)</f>
        <v>0</v>
      </c>
      <c r="O148" s="33">
        <v>0</v>
      </c>
      <c r="P148" s="142"/>
      <c r="Q148" s="142"/>
      <c r="R148" s="142"/>
      <c r="S148" s="142">
        <v>0</v>
      </c>
      <c r="T148" s="33">
        <v>0</v>
      </c>
      <c r="U148" s="34">
        <v>0</v>
      </c>
      <c r="V148" s="35">
        <f t="shared" si="12"/>
        <v>0</v>
      </c>
    </row>
    <row r="149" spans="1:22" ht="15.75" thickBot="1" x14ac:dyDescent="0.3">
      <c r="A149" s="17">
        <v>145</v>
      </c>
      <c r="B149" s="150">
        <f>'X. Satser pensjonstilskudd'!B149</f>
        <v>0</v>
      </c>
      <c r="C149" s="18">
        <f>'X. Satser pensjonstilskudd'!C149</f>
        <v>0</v>
      </c>
      <c r="D149" s="18" t="str">
        <f>IFERROR(_xlfn.XLOOKUP($C149,factPensjon[Virksomhetsnr.],factPensjon[Forpliktelser]),"")</f>
        <v/>
      </c>
      <c r="E149" s="19">
        <f>SUMIFS(BasilRadata[Heltidsplasser
0-2],BasilRadata[År],'0. Oppsett'!$C$8,BasilRadata[1B. Organisasjonsnummer:],$C149)</f>
        <v>0</v>
      </c>
      <c r="F149" s="25">
        <f>'4. Selvkost og satser'!$B$54</f>
        <v>288170.9461329499</v>
      </c>
      <c r="G149" s="19">
        <f>SUMIFS(BasilRadata[Heltidsplasser
3-6],BasilRadata[År],'0. Oppsett'!$C$8,BasilRadata[1B. Organisasjonsnummer:],$C149)</f>
        <v>0</v>
      </c>
      <c r="H149" s="25">
        <f>'4. Selvkost og satser'!$B$55</f>
        <v>156604.23359926464</v>
      </c>
      <c r="I149" s="26">
        <f t="shared" si="9"/>
        <v>0</v>
      </c>
      <c r="J149" s="20">
        <f>SUMIFS(BasilRadata[8E. Oppgi antall årsverk barnehagen har pensjonsforpliktelser for:],'1. BASIL-rådata'!$I$3:$I$500,'X. Satser pensjonstilskudd'!$C149,BasilRadata[År],'0. Oppsett'!$C$8)</f>
        <v>0</v>
      </c>
      <c r="K149" s="30">
        <f>IFERROR(IF(OR(#REF!="",#REF!=""),0,J149*#REF!*#REF!*(1+'0. Oppsett'!$C$11)),0)</f>
        <v>0</v>
      </c>
      <c r="L149" s="95">
        <f t="shared" si="10"/>
        <v>0</v>
      </c>
      <c r="M149" s="31">
        <f t="shared" si="11"/>
        <v>0</v>
      </c>
      <c r="N149" s="32">
        <f>IFERROR(M149*'0. Oppsett'!$C$30,0)</f>
        <v>0</v>
      </c>
      <c r="O149" s="33">
        <v>0</v>
      </c>
      <c r="P149" s="142"/>
      <c r="Q149" s="142"/>
      <c r="R149" s="142"/>
      <c r="S149" s="142">
        <v>0</v>
      </c>
      <c r="T149" s="33">
        <v>0</v>
      </c>
      <c r="U149" s="34">
        <v>0</v>
      </c>
      <c r="V149" s="35">
        <f t="shared" si="12"/>
        <v>0</v>
      </c>
    </row>
    <row r="150" spans="1:22" ht="15.75" thickBot="1" x14ac:dyDescent="0.3">
      <c r="A150" s="21">
        <v>146</v>
      </c>
      <c r="B150" s="150">
        <f>'X. Satser pensjonstilskudd'!B150</f>
        <v>0</v>
      </c>
      <c r="C150" s="18">
        <f>'X. Satser pensjonstilskudd'!C150</f>
        <v>0</v>
      </c>
      <c r="D150" s="18" t="str">
        <f>IFERROR(_xlfn.XLOOKUP($C150,factPensjon[Virksomhetsnr.],factPensjon[Forpliktelser]),"")</f>
        <v/>
      </c>
      <c r="E150" s="19">
        <f>SUMIFS(BasilRadata[Heltidsplasser
0-2],BasilRadata[År],'0. Oppsett'!$C$8,BasilRadata[1B. Organisasjonsnummer:],$C150)</f>
        <v>0</v>
      </c>
      <c r="F150" s="25">
        <f>'4. Selvkost og satser'!$B$54</f>
        <v>288170.9461329499</v>
      </c>
      <c r="G150" s="19">
        <f>SUMIFS(BasilRadata[Heltidsplasser
3-6],BasilRadata[År],'0. Oppsett'!$C$8,BasilRadata[1B. Organisasjonsnummer:],$C150)</f>
        <v>0</v>
      </c>
      <c r="H150" s="25">
        <f>'4. Selvkost og satser'!$B$55</f>
        <v>156604.23359926464</v>
      </c>
      <c r="I150" s="26">
        <f t="shared" si="9"/>
        <v>0</v>
      </c>
      <c r="J150" s="20">
        <f>SUMIFS(BasilRadata[8E. Oppgi antall årsverk barnehagen har pensjonsforpliktelser for:],'1. BASIL-rådata'!$I$3:$I$500,'X. Satser pensjonstilskudd'!$C150,BasilRadata[År],'0. Oppsett'!$C$8)</f>
        <v>0</v>
      </c>
      <c r="K150" s="30">
        <f>IFERROR(IF(OR(#REF!="",#REF!=""),0,J150*#REF!*#REF!*(1+'0. Oppsett'!$C$11)),0)</f>
        <v>0</v>
      </c>
      <c r="L150" s="95">
        <f t="shared" si="10"/>
        <v>0</v>
      </c>
      <c r="M150" s="31">
        <f t="shared" si="11"/>
        <v>0</v>
      </c>
      <c r="N150" s="32">
        <f>IFERROR(M150*'0. Oppsett'!$C$30,0)</f>
        <v>0</v>
      </c>
      <c r="O150" s="33">
        <v>0</v>
      </c>
      <c r="P150" s="142"/>
      <c r="Q150" s="142"/>
      <c r="R150" s="142"/>
      <c r="S150" s="142">
        <v>0</v>
      </c>
      <c r="T150" s="33">
        <v>0</v>
      </c>
      <c r="U150" s="34">
        <v>0</v>
      </c>
      <c r="V150" s="35">
        <f t="shared" si="12"/>
        <v>0</v>
      </c>
    </row>
    <row r="151" spans="1:22" ht="15.75" thickBot="1" x14ac:dyDescent="0.3">
      <c r="A151" s="17">
        <v>147</v>
      </c>
      <c r="B151" s="150">
        <f>'X. Satser pensjonstilskudd'!B151</f>
        <v>0</v>
      </c>
      <c r="C151" s="18">
        <f>'X. Satser pensjonstilskudd'!C151</f>
        <v>0</v>
      </c>
      <c r="D151" s="18" t="str">
        <f>IFERROR(_xlfn.XLOOKUP($C151,factPensjon[Virksomhetsnr.],factPensjon[Forpliktelser]),"")</f>
        <v/>
      </c>
      <c r="E151" s="19">
        <f>SUMIFS(BasilRadata[Heltidsplasser
0-2],BasilRadata[År],'0. Oppsett'!$C$8,BasilRadata[1B. Organisasjonsnummer:],$C151)</f>
        <v>0</v>
      </c>
      <c r="F151" s="25">
        <f>'4. Selvkost og satser'!$B$54</f>
        <v>288170.9461329499</v>
      </c>
      <c r="G151" s="19">
        <f>SUMIFS(BasilRadata[Heltidsplasser
3-6],BasilRadata[År],'0. Oppsett'!$C$8,BasilRadata[1B. Organisasjonsnummer:],$C151)</f>
        <v>0</v>
      </c>
      <c r="H151" s="25">
        <f>'4. Selvkost og satser'!$B$55</f>
        <v>156604.23359926464</v>
      </c>
      <c r="I151" s="26">
        <f t="shared" si="9"/>
        <v>0</v>
      </c>
      <c r="J151" s="20">
        <f>SUMIFS(BasilRadata[8E. Oppgi antall årsverk barnehagen har pensjonsforpliktelser for:],'1. BASIL-rådata'!$I$3:$I$500,'X. Satser pensjonstilskudd'!$C151,BasilRadata[År],'0. Oppsett'!$C$8)</f>
        <v>0</v>
      </c>
      <c r="K151" s="30">
        <f>IFERROR(IF(OR(#REF!="",#REF!=""),0,J151*#REF!*#REF!*(1+'0. Oppsett'!$C$11)),0)</f>
        <v>0</v>
      </c>
      <c r="L151" s="95">
        <f t="shared" si="10"/>
        <v>0</v>
      </c>
      <c r="M151" s="31">
        <f t="shared" si="11"/>
        <v>0</v>
      </c>
      <c r="N151" s="32">
        <f>IFERROR(M151*'0. Oppsett'!$C$30,0)</f>
        <v>0</v>
      </c>
      <c r="O151" s="33">
        <v>0</v>
      </c>
      <c r="P151" s="142"/>
      <c r="Q151" s="142"/>
      <c r="R151" s="142"/>
      <c r="S151" s="142">
        <v>0</v>
      </c>
      <c r="T151" s="33">
        <v>0</v>
      </c>
      <c r="U151" s="34">
        <v>0</v>
      </c>
      <c r="V151" s="35">
        <f t="shared" si="12"/>
        <v>0</v>
      </c>
    </row>
    <row r="152" spans="1:22" ht="15.75" thickBot="1" x14ac:dyDescent="0.3">
      <c r="A152" s="21">
        <v>148</v>
      </c>
      <c r="B152" s="150">
        <f>'X. Satser pensjonstilskudd'!B152</f>
        <v>0</v>
      </c>
      <c r="C152" s="18">
        <f>'X. Satser pensjonstilskudd'!C152</f>
        <v>0</v>
      </c>
      <c r="D152" s="18" t="str">
        <f>IFERROR(_xlfn.XLOOKUP($C152,factPensjon[Virksomhetsnr.],factPensjon[Forpliktelser]),"")</f>
        <v/>
      </c>
      <c r="E152" s="19">
        <f>SUMIFS(BasilRadata[Heltidsplasser
0-2],BasilRadata[År],'0. Oppsett'!$C$8,BasilRadata[1B. Organisasjonsnummer:],$C152)</f>
        <v>0</v>
      </c>
      <c r="F152" s="25">
        <f>'4. Selvkost og satser'!$B$54</f>
        <v>288170.9461329499</v>
      </c>
      <c r="G152" s="19">
        <f>SUMIFS(BasilRadata[Heltidsplasser
3-6],BasilRadata[År],'0. Oppsett'!$C$8,BasilRadata[1B. Organisasjonsnummer:],$C152)</f>
        <v>0</v>
      </c>
      <c r="H152" s="25">
        <f>'4. Selvkost og satser'!$B$55</f>
        <v>156604.23359926464</v>
      </c>
      <c r="I152" s="26">
        <f t="shared" si="9"/>
        <v>0</v>
      </c>
      <c r="J152" s="20">
        <f>SUMIFS(BasilRadata[8E. Oppgi antall årsverk barnehagen har pensjonsforpliktelser for:],'1. BASIL-rådata'!$I$3:$I$500,'X. Satser pensjonstilskudd'!$C152,BasilRadata[År],'0. Oppsett'!$C$8)</f>
        <v>0</v>
      </c>
      <c r="K152" s="30">
        <f>IFERROR(IF(OR(#REF!="",#REF!=""),0,J152*#REF!*#REF!*(1+'0. Oppsett'!$C$11)),0)</f>
        <v>0</v>
      </c>
      <c r="L152" s="95">
        <f t="shared" si="10"/>
        <v>0</v>
      </c>
      <c r="M152" s="31">
        <f t="shared" si="11"/>
        <v>0</v>
      </c>
      <c r="N152" s="32">
        <f>IFERROR(M152*'0. Oppsett'!$C$30,0)</f>
        <v>0</v>
      </c>
      <c r="O152" s="33">
        <v>0</v>
      </c>
      <c r="P152" s="142"/>
      <c r="Q152" s="142"/>
      <c r="R152" s="142"/>
      <c r="S152" s="142">
        <v>0</v>
      </c>
      <c r="T152" s="33">
        <v>0</v>
      </c>
      <c r="U152" s="34">
        <v>0</v>
      </c>
      <c r="V152" s="35">
        <f t="shared" si="12"/>
        <v>0</v>
      </c>
    </row>
    <row r="153" spans="1:22" ht="15.75" thickBot="1" x14ac:dyDescent="0.3">
      <c r="A153" s="17">
        <v>149</v>
      </c>
      <c r="B153" s="150">
        <f>'X. Satser pensjonstilskudd'!B153</f>
        <v>0</v>
      </c>
      <c r="C153" s="18">
        <f>'X. Satser pensjonstilskudd'!C153</f>
        <v>0</v>
      </c>
      <c r="D153" s="18" t="str">
        <f>IFERROR(_xlfn.XLOOKUP($C153,factPensjon[Virksomhetsnr.],factPensjon[Forpliktelser]),"")</f>
        <v/>
      </c>
      <c r="E153" s="19">
        <f>SUMIFS(BasilRadata[Heltidsplasser
0-2],BasilRadata[År],'0. Oppsett'!$C$8,BasilRadata[1B. Organisasjonsnummer:],$C153)</f>
        <v>0</v>
      </c>
      <c r="F153" s="25">
        <f>'4. Selvkost og satser'!$B$54</f>
        <v>288170.9461329499</v>
      </c>
      <c r="G153" s="19">
        <f>SUMIFS(BasilRadata[Heltidsplasser
3-6],BasilRadata[År],'0. Oppsett'!$C$8,BasilRadata[1B. Organisasjonsnummer:],$C153)</f>
        <v>0</v>
      </c>
      <c r="H153" s="25">
        <f>'4. Selvkost og satser'!$B$55</f>
        <v>156604.23359926464</v>
      </c>
      <c r="I153" s="26">
        <f t="shared" si="9"/>
        <v>0</v>
      </c>
      <c r="J153" s="20">
        <f>SUMIFS(BasilRadata[8E. Oppgi antall årsverk barnehagen har pensjonsforpliktelser for:],'1. BASIL-rådata'!$I$3:$I$500,'X. Satser pensjonstilskudd'!$C153,BasilRadata[År],'0. Oppsett'!$C$8)</f>
        <v>0</v>
      </c>
      <c r="K153" s="30">
        <f>IFERROR(IF(OR(#REF!="",#REF!=""),0,J153*#REF!*#REF!*(1+'0. Oppsett'!$C$11)),0)</f>
        <v>0</v>
      </c>
      <c r="L153" s="95">
        <f t="shared" si="10"/>
        <v>0</v>
      </c>
      <c r="M153" s="31">
        <f t="shared" si="11"/>
        <v>0</v>
      </c>
      <c r="N153" s="32">
        <f>IFERROR(M153*'0. Oppsett'!$C$30,0)</f>
        <v>0</v>
      </c>
      <c r="O153" s="33">
        <v>0</v>
      </c>
      <c r="P153" s="142"/>
      <c r="Q153" s="142"/>
      <c r="R153" s="142"/>
      <c r="S153" s="142">
        <v>0</v>
      </c>
      <c r="T153" s="33">
        <v>0</v>
      </c>
      <c r="U153" s="34">
        <v>0</v>
      </c>
      <c r="V153" s="35">
        <f t="shared" si="12"/>
        <v>0</v>
      </c>
    </row>
    <row r="154" spans="1:22" ht="15.75" thickBot="1" x14ac:dyDescent="0.3">
      <c r="A154" s="21">
        <v>150</v>
      </c>
      <c r="B154" s="150">
        <f>'X. Satser pensjonstilskudd'!B154</f>
        <v>0</v>
      </c>
      <c r="C154" s="18">
        <f>'X. Satser pensjonstilskudd'!C154</f>
        <v>0</v>
      </c>
      <c r="D154" s="18" t="str">
        <f>IFERROR(_xlfn.XLOOKUP($C154,factPensjon[Virksomhetsnr.],factPensjon[Forpliktelser]),"")</f>
        <v/>
      </c>
      <c r="E154" s="19">
        <f>SUMIFS(BasilRadata[Heltidsplasser
0-2],BasilRadata[År],'0. Oppsett'!$C$8,BasilRadata[1B. Organisasjonsnummer:],$C154)</f>
        <v>0</v>
      </c>
      <c r="F154" s="25">
        <f>'4. Selvkost og satser'!$B$54</f>
        <v>288170.9461329499</v>
      </c>
      <c r="G154" s="19">
        <f>SUMIFS(BasilRadata[Heltidsplasser
3-6],BasilRadata[År],'0. Oppsett'!$C$8,BasilRadata[1B. Organisasjonsnummer:],$C154)</f>
        <v>0</v>
      </c>
      <c r="H154" s="25">
        <f>'4. Selvkost og satser'!$B$55</f>
        <v>156604.23359926464</v>
      </c>
      <c r="I154" s="26">
        <f t="shared" si="9"/>
        <v>0</v>
      </c>
      <c r="J154" s="20">
        <f>SUMIFS(BasilRadata[8E. Oppgi antall årsverk barnehagen har pensjonsforpliktelser for:],'1. BASIL-rådata'!$I$3:$I$500,'X. Satser pensjonstilskudd'!$C154,BasilRadata[År],'0. Oppsett'!$C$8)</f>
        <v>0</v>
      </c>
      <c r="K154" s="30">
        <f>IFERROR(IF(OR(#REF!="",#REF!=""),0,J154*#REF!*#REF!*(1+'0. Oppsett'!$C$11)),0)</f>
        <v>0</v>
      </c>
      <c r="L154" s="95">
        <f t="shared" si="10"/>
        <v>0</v>
      </c>
      <c r="M154" s="31">
        <f t="shared" si="11"/>
        <v>0</v>
      </c>
      <c r="N154" s="32">
        <f>IFERROR(M154*'0. Oppsett'!$C$30,0)</f>
        <v>0</v>
      </c>
      <c r="O154" s="33">
        <v>0</v>
      </c>
      <c r="P154" s="142"/>
      <c r="Q154" s="142"/>
      <c r="R154" s="142"/>
      <c r="S154" s="142">
        <v>0</v>
      </c>
      <c r="T154" s="33">
        <v>0</v>
      </c>
      <c r="U154" s="34">
        <v>0</v>
      </c>
      <c r="V154" s="35">
        <f t="shared" si="12"/>
        <v>0</v>
      </c>
    </row>
    <row r="155" spans="1:22" ht="15.75" thickBot="1" x14ac:dyDescent="0.3">
      <c r="A155" s="17">
        <v>151</v>
      </c>
      <c r="B155" s="150">
        <f>'X. Satser pensjonstilskudd'!B155</f>
        <v>0</v>
      </c>
      <c r="C155" s="18">
        <f>'X. Satser pensjonstilskudd'!C155</f>
        <v>0</v>
      </c>
      <c r="D155" s="18" t="str">
        <f>IFERROR(_xlfn.XLOOKUP($C155,factPensjon[Virksomhetsnr.],factPensjon[Forpliktelser]),"")</f>
        <v/>
      </c>
      <c r="E155" s="19">
        <f>SUMIFS(BasilRadata[Heltidsplasser
0-2],BasilRadata[År],'0. Oppsett'!$C$8,BasilRadata[1B. Organisasjonsnummer:],$C155)</f>
        <v>0</v>
      </c>
      <c r="F155" s="25">
        <f>'4. Selvkost og satser'!$B$54</f>
        <v>288170.9461329499</v>
      </c>
      <c r="G155" s="19">
        <f>SUMIFS(BasilRadata[Heltidsplasser
3-6],BasilRadata[År],'0. Oppsett'!$C$8,BasilRadata[1B. Organisasjonsnummer:],$C155)</f>
        <v>0</v>
      </c>
      <c r="H155" s="25">
        <f>'4. Selvkost og satser'!$B$55</f>
        <v>156604.23359926464</v>
      </c>
      <c r="I155" s="26">
        <f t="shared" si="9"/>
        <v>0</v>
      </c>
      <c r="J155" s="20">
        <f>SUMIFS(BasilRadata[8E. Oppgi antall årsverk barnehagen har pensjonsforpliktelser for:],'1. BASIL-rådata'!$I$3:$I$500,'X. Satser pensjonstilskudd'!$C155,BasilRadata[År],'0. Oppsett'!$C$8)</f>
        <v>0</v>
      </c>
      <c r="K155" s="30">
        <f>IFERROR(IF(OR(#REF!="",#REF!=""),0,J155*#REF!*#REF!*(1+'0. Oppsett'!$C$11)),0)</f>
        <v>0</v>
      </c>
      <c r="L155" s="95">
        <f t="shared" si="10"/>
        <v>0</v>
      </c>
      <c r="M155" s="31">
        <f t="shared" si="11"/>
        <v>0</v>
      </c>
      <c r="N155" s="32">
        <f>IFERROR(M155*'0. Oppsett'!$C$30,0)</f>
        <v>0</v>
      </c>
      <c r="O155" s="33">
        <v>0</v>
      </c>
      <c r="P155" s="142"/>
      <c r="Q155" s="142"/>
      <c r="R155" s="142"/>
      <c r="S155" s="142">
        <v>0</v>
      </c>
      <c r="T155" s="33">
        <v>0</v>
      </c>
      <c r="U155" s="34">
        <v>0</v>
      </c>
      <c r="V155" s="35">
        <f t="shared" si="12"/>
        <v>0</v>
      </c>
    </row>
    <row r="156" spans="1:22" ht="15.75" thickBot="1" x14ac:dyDescent="0.3">
      <c r="A156" s="21">
        <v>152</v>
      </c>
      <c r="B156" s="150">
        <f>'X. Satser pensjonstilskudd'!B156</f>
        <v>0</v>
      </c>
      <c r="C156" s="18">
        <f>'X. Satser pensjonstilskudd'!C156</f>
        <v>0</v>
      </c>
      <c r="D156" s="18" t="str">
        <f>IFERROR(_xlfn.XLOOKUP($C156,factPensjon[Virksomhetsnr.],factPensjon[Forpliktelser]),"")</f>
        <v/>
      </c>
      <c r="E156" s="19">
        <f>SUMIFS(BasilRadata[Heltidsplasser
0-2],BasilRadata[År],'0. Oppsett'!$C$8,BasilRadata[1B. Organisasjonsnummer:],$C156)</f>
        <v>0</v>
      </c>
      <c r="F156" s="25">
        <f>'4. Selvkost og satser'!$B$54</f>
        <v>288170.9461329499</v>
      </c>
      <c r="G156" s="19">
        <f>SUMIFS(BasilRadata[Heltidsplasser
3-6],BasilRadata[År],'0. Oppsett'!$C$8,BasilRadata[1B. Organisasjonsnummer:],$C156)</f>
        <v>0</v>
      </c>
      <c r="H156" s="25">
        <f>'4. Selvkost og satser'!$B$55</f>
        <v>156604.23359926464</v>
      </c>
      <c r="I156" s="26">
        <f t="shared" si="9"/>
        <v>0</v>
      </c>
      <c r="J156" s="20">
        <f>SUMIFS(BasilRadata[8E. Oppgi antall årsverk barnehagen har pensjonsforpliktelser for:],'1. BASIL-rådata'!$I$3:$I$500,'X. Satser pensjonstilskudd'!$C156,BasilRadata[År],'0. Oppsett'!$C$8)</f>
        <v>0</v>
      </c>
      <c r="K156" s="30">
        <f>IFERROR(IF(OR(#REF!="",#REF!=""),0,J156*#REF!*#REF!*(1+'0. Oppsett'!$C$11)),0)</f>
        <v>0</v>
      </c>
      <c r="L156" s="95">
        <f t="shared" si="10"/>
        <v>0</v>
      </c>
      <c r="M156" s="31">
        <f t="shared" si="11"/>
        <v>0</v>
      </c>
      <c r="N156" s="32">
        <f>IFERROR(M156*'0. Oppsett'!$C$30,0)</f>
        <v>0</v>
      </c>
      <c r="O156" s="33">
        <v>0</v>
      </c>
      <c r="P156" s="142"/>
      <c r="Q156" s="142"/>
      <c r="R156" s="142"/>
      <c r="S156" s="142">
        <v>0</v>
      </c>
      <c r="T156" s="33">
        <v>0</v>
      </c>
      <c r="U156" s="34">
        <v>0</v>
      </c>
      <c r="V156" s="35">
        <f t="shared" si="12"/>
        <v>0</v>
      </c>
    </row>
    <row r="157" spans="1:22" ht="15.75" thickBot="1" x14ac:dyDescent="0.3">
      <c r="A157" s="17">
        <v>153</v>
      </c>
      <c r="B157" s="150">
        <f>'X. Satser pensjonstilskudd'!B157</f>
        <v>0</v>
      </c>
      <c r="C157" s="18">
        <f>'X. Satser pensjonstilskudd'!C157</f>
        <v>0</v>
      </c>
      <c r="D157" s="18" t="str">
        <f>IFERROR(_xlfn.XLOOKUP($C157,factPensjon[Virksomhetsnr.],factPensjon[Forpliktelser]),"")</f>
        <v/>
      </c>
      <c r="E157" s="19">
        <f>SUMIFS(BasilRadata[Heltidsplasser
0-2],BasilRadata[År],'0. Oppsett'!$C$8,BasilRadata[1B. Organisasjonsnummer:],$C157)</f>
        <v>0</v>
      </c>
      <c r="F157" s="25">
        <f>'4. Selvkost og satser'!$B$54</f>
        <v>288170.9461329499</v>
      </c>
      <c r="G157" s="19">
        <f>SUMIFS(BasilRadata[Heltidsplasser
3-6],BasilRadata[År],'0. Oppsett'!$C$8,BasilRadata[1B. Organisasjonsnummer:],$C157)</f>
        <v>0</v>
      </c>
      <c r="H157" s="25">
        <f>'4. Selvkost og satser'!$B$55</f>
        <v>156604.23359926464</v>
      </c>
      <c r="I157" s="26">
        <f t="shared" si="9"/>
        <v>0</v>
      </c>
      <c r="J157" s="20">
        <f>SUMIFS(BasilRadata[8E. Oppgi antall årsverk barnehagen har pensjonsforpliktelser for:],'1. BASIL-rådata'!$I$3:$I$500,'X. Satser pensjonstilskudd'!$C157,BasilRadata[År],'0. Oppsett'!$C$8)</f>
        <v>0</v>
      </c>
      <c r="K157" s="30">
        <f>IFERROR(IF(OR(#REF!="",#REF!=""),0,J157*#REF!*#REF!*(1+'0. Oppsett'!$C$11)),0)</f>
        <v>0</v>
      </c>
      <c r="L157" s="95">
        <f t="shared" si="10"/>
        <v>0</v>
      </c>
      <c r="M157" s="31">
        <f t="shared" si="11"/>
        <v>0</v>
      </c>
      <c r="N157" s="32">
        <f>IFERROR(M157*'0. Oppsett'!$C$30,0)</f>
        <v>0</v>
      </c>
      <c r="O157" s="33">
        <v>0</v>
      </c>
      <c r="P157" s="142"/>
      <c r="Q157" s="142"/>
      <c r="R157" s="142"/>
      <c r="S157" s="142">
        <v>0</v>
      </c>
      <c r="T157" s="33">
        <v>0</v>
      </c>
      <c r="U157" s="34">
        <v>0</v>
      </c>
      <c r="V157" s="35">
        <f t="shared" si="12"/>
        <v>0</v>
      </c>
    </row>
    <row r="158" spans="1:22" ht="15.75" thickBot="1" x14ac:dyDescent="0.3">
      <c r="A158" s="21">
        <v>154</v>
      </c>
      <c r="B158" s="150">
        <f>'X. Satser pensjonstilskudd'!B158</f>
        <v>0</v>
      </c>
      <c r="C158" s="18">
        <f>'X. Satser pensjonstilskudd'!C158</f>
        <v>0</v>
      </c>
      <c r="D158" s="18" t="str">
        <f>IFERROR(_xlfn.XLOOKUP($C158,factPensjon[Virksomhetsnr.],factPensjon[Forpliktelser]),"")</f>
        <v/>
      </c>
      <c r="E158" s="19">
        <f>SUMIFS(BasilRadata[Heltidsplasser
0-2],BasilRadata[År],'0. Oppsett'!$C$8,BasilRadata[1B. Organisasjonsnummer:],$C158)</f>
        <v>0</v>
      </c>
      <c r="F158" s="25">
        <f>'4. Selvkost og satser'!$B$54</f>
        <v>288170.9461329499</v>
      </c>
      <c r="G158" s="19">
        <f>SUMIFS(BasilRadata[Heltidsplasser
3-6],BasilRadata[År],'0. Oppsett'!$C$8,BasilRadata[1B. Organisasjonsnummer:],$C158)</f>
        <v>0</v>
      </c>
      <c r="H158" s="25">
        <f>'4. Selvkost og satser'!$B$55</f>
        <v>156604.23359926464</v>
      </c>
      <c r="I158" s="26">
        <f t="shared" si="9"/>
        <v>0</v>
      </c>
      <c r="J158" s="20">
        <f>SUMIFS(BasilRadata[8E. Oppgi antall årsverk barnehagen har pensjonsforpliktelser for:],'1. BASIL-rådata'!$I$3:$I$500,'X. Satser pensjonstilskudd'!$C158,BasilRadata[År],'0. Oppsett'!$C$8)</f>
        <v>0</v>
      </c>
      <c r="K158" s="30">
        <f>IFERROR(IF(OR(#REF!="",#REF!=""),0,J158*#REF!*#REF!*(1+'0. Oppsett'!$C$11)),0)</f>
        <v>0</v>
      </c>
      <c r="L158" s="95">
        <f t="shared" si="10"/>
        <v>0</v>
      </c>
      <c r="M158" s="31">
        <f t="shared" si="11"/>
        <v>0</v>
      </c>
      <c r="N158" s="32">
        <f>IFERROR(M158*'0. Oppsett'!$C$30,0)</f>
        <v>0</v>
      </c>
      <c r="O158" s="33">
        <v>0</v>
      </c>
      <c r="P158" s="142"/>
      <c r="Q158" s="142"/>
      <c r="R158" s="142"/>
      <c r="S158" s="142">
        <v>0</v>
      </c>
      <c r="T158" s="33">
        <v>0</v>
      </c>
      <c r="U158" s="34">
        <v>0</v>
      </c>
      <c r="V158" s="35">
        <f t="shared" si="12"/>
        <v>0</v>
      </c>
    </row>
    <row r="159" spans="1:22" ht="15.75" thickBot="1" x14ac:dyDescent="0.3">
      <c r="A159" s="17">
        <v>155</v>
      </c>
      <c r="B159" s="150">
        <f>'X. Satser pensjonstilskudd'!B159</f>
        <v>0</v>
      </c>
      <c r="C159" s="18">
        <f>'X. Satser pensjonstilskudd'!C159</f>
        <v>0</v>
      </c>
      <c r="D159" s="18" t="str">
        <f>IFERROR(_xlfn.XLOOKUP($C159,factPensjon[Virksomhetsnr.],factPensjon[Forpliktelser]),"")</f>
        <v/>
      </c>
      <c r="E159" s="19">
        <f>SUMIFS(BasilRadata[Heltidsplasser
0-2],BasilRadata[År],'0. Oppsett'!$C$8,BasilRadata[1B. Organisasjonsnummer:],$C159)</f>
        <v>0</v>
      </c>
      <c r="F159" s="25">
        <f>'4. Selvkost og satser'!$B$54</f>
        <v>288170.9461329499</v>
      </c>
      <c r="G159" s="19">
        <f>SUMIFS(BasilRadata[Heltidsplasser
3-6],BasilRadata[År],'0. Oppsett'!$C$8,BasilRadata[1B. Organisasjonsnummer:],$C159)</f>
        <v>0</v>
      </c>
      <c r="H159" s="25">
        <f>'4. Selvkost og satser'!$B$55</f>
        <v>156604.23359926464</v>
      </c>
      <c r="I159" s="26">
        <f t="shared" si="9"/>
        <v>0</v>
      </c>
      <c r="J159" s="20">
        <f>SUMIFS(BasilRadata[8E. Oppgi antall årsverk barnehagen har pensjonsforpliktelser for:],'1. BASIL-rådata'!$I$3:$I$500,'X. Satser pensjonstilskudd'!$C159,BasilRadata[År],'0. Oppsett'!$C$8)</f>
        <v>0</v>
      </c>
      <c r="K159" s="30">
        <f>IFERROR(IF(OR(#REF!="",#REF!=""),0,J159*#REF!*#REF!*(1+'0. Oppsett'!$C$11)),0)</f>
        <v>0</v>
      </c>
      <c r="L159" s="95">
        <f t="shared" si="10"/>
        <v>0</v>
      </c>
      <c r="M159" s="31">
        <f t="shared" si="11"/>
        <v>0</v>
      </c>
      <c r="N159" s="32">
        <f>IFERROR(M159*'0. Oppsett'!$C$30,0)</f>
        <v>0</v>
      </c>
      <c r="O159" s="33">
        <v>0</v>
      </c>
      <c r="P159" s="142"/>
      <c r="Q159" s="142"/>
      <c r="R159" s="142"/>
      <c r="S159" s="142">
        <v>0</v>
      </c>
      <c r="T159" s="33">
        <v>0</v>
      </c>
      <c r="U159" s="34">
        <v>0</v>
      </c>
      <c r="V159" s="35">
        <f t="shared" si="12"/>
        <v>0</v>
      </c>
    </row>
    <row r="160" spans="1:22" ht="15.75" thickBot="1" x14ac:dyDescent="0.3">
      <c r="A160" s="21">
        <v>156</v>
      </c>
      <c r="B160" s="150">
        <f>'X. Satser pensjonstilskudd'!B160</f>
        <v>0</v>
      </c>
      <c r="C160" s="18">
        <f>'X. Satser pensjonstilskudd'!C160</f>
        <v>0</v>
      </c>
      <c r="D160" s="18" t="str">
        <f>IFERROR(_xlfn.XLOOKUP($C160,factPensjon[Virksomhetsnr.],factPensjon[Forpliktelser]),"")</f>
        <v/>
      </c>
      <c r="E160" s="19">
        <f>SUMIFS(BasilRadata[Heltidsplasser
0-2],BasilRadata[År],'0. Oppsett'!$C$8,BasilRadata[1B. Organisasjonsnummer:],$C160)</f>
        <v>0</v>
      </c>
      <c r="F160" s="25">
        <f>'4. Selvkost og satser'!$B$54</f>
        <v>288170.9461329499</v>
      </c>
      <c r="G160" s="19">
        <f>SUMIFS(BasilRadata[Heltidsplasser
3-6],BasilRadata[År],'0. Oppsett'!$C$8,BasilRadata[1B. Organisasjonsnummer:],$C160)</f>
        <v>0</v>
      </c>
      <c r="H160" s="25">
        <f>'4. Selvkost og satser'!$B$55</f>
        <v>156604.23359926464</v>
      </c>
      <c r="I160" s="26">
        <f t="shared" si="9"/>
        <v>0</v>
      </c>
      <c r="J160" s="20">
        <f>SUMIFS(BasilRadata[8E. Oppgi antall årsverk barnehagen har pensjonsforpliktelser for:],'1. BASIL-rådata'!$I$3:$I$500,'X. Satser pensjonstilskudd'!$C160,BasilRadata[År],'0. Oppsett'!$C$8)</f>
        <v>0</v>
      </c>
      <c r="K160" s="30">
        <f>IFERROR(IF(OR(#REF!="",#REF!=""),0,J160*#REF!*#REF!*(1+'0. Oppsett'!$C$11)),0)</f>
        <v>0</v>
      </c>
      <c r="L160" s="95">
        <f t="shared" si="10"/>
        <v>0</v>
      </c>
      <c r="M160" s="31">
        <f t="shared" si="11"/>
        <v>0</v>
      </c>
      <c r="N160" s="32">
        <f>IFERROR(M160*'0. Oppsett'!$C$30,0)</f>
        <v>0</v>
      </c>
      <c r="O160" s="33">
        <v>0</v>
      </c>
      <c r="P160" s="142"/>
      <c r="Q160" s="142"/>
      <c r="R160" s="142"/>
      <c r="S160" s="142">
        <v>0</v>
      </c>
      <c r="T160" s="33">
        <v>0</v>
      </c>
      <c r="U160" s="34">
        <v>0</v>
      </c>
      <c r="V160" s="35">
        <f t="shared" si="12"/>
        <v>0</v>
      </c>
    </row>
    <row r="161" spans="1:22" ht="15.75" thickBot="1" x14ac:dyDescent="0.3">
      <c r="A161" s="17">
        <v>157</v>
      </c>
      <c r="B161" s="150">
        <f>'X. Satser pensjonstilskudd'!B161</f>
        <v>0</v>
      </c>
      <c r="C161" s="18">
        <f>'X. Satser pensjonstilskudd'!C161</f>
        <v>0</v>
      </c>
      <c r="D161" s="18" t="str">
        <f>IFERROR(_xlfn.XLOOKUP($C161,factPensjon[Virksomhetsnr.],factPensjon[Forpliktelser]),"")</f>
        <v/>
      </c>
      <c r="E161" s="19">
        <f>SUMIFS(BasilRadata[Heltidsplasser
0-2],BasilRadata[År],'0. Oppsett'!$C$8,BasilRadata[1B. Organisasjonsnummer:],$C161)</f>
        <v>0</v>
      </c>
      <c r="F161" s="25">
        <f>'4. Selvkost og satser'!$B$54</f>
        <v>288170.9461329499</v>
      </c>
      <c r="G161" s="19">
        <f>SUMIFS(BasilRadata[Heltidsplasser
3-6],BasilRadata[År],'0. Oppsett'!$C$8,BasilRadata[1B. Organisasjonsnummer:],$C161)</f>
        <v>0</v>
      </c>
      <c r="H161" s="25">
        <f>'4. Selvkost og satser'!$B$55</f>
        <v>156604.23359926464</v>
      </c>
      <c r="I161" s="26">
        <f t="shared" si="9"/>
        <v>0</v>
      </c>
      <c r="J161" s="20">
        <f>SUMIFS(BasilRadata[8E. Oppgi antall årsverk barnehagen har pensjonsforpliktelser for:],'1. BASIL-rådata'!$I$3:$I$500,'X. Satser pensjonstilskudd'!$C161,BasilRadata[År],'0. Oppsett'!$C$8)</f>
        <v>0</v>
      </c>
      <c r="K161" s="30">
        <f>IFERROR(IF(OR(#REF!="",#REF!=""),0,J161*#REF!*#REF!*(1+'0. Oppsett'!$C$11)),0)</f>
        <v>0</v>
      </c>
      <c r="L161" s="95">
        <f t="shared" si="10"/>
        <v>0</v>
      </c>
      <c r="M161" s="31">
        <f t="shared" si="11"/>
        <v>0</v>
      </c>
      <c r="N161" s="32">
        <f>IFERROR(M161*'0. Oppsett'!$C$30,0)</f>
        <v>0</v>
      </c>
      <c r="O161" s="33">
        <v>0</v>
      </c>
      <c r="P161" s="142"/>
      <c r="Q161" s="142"/>
      <c r="R161" s="142"/>
      <c r="S161" s="142">
        <v>0</v>
      </c>
      <c r="T161" s="33">
        <v>0</v>
      </c>
      <c r="U161" s="34">
        <v>0</v>
      </c>
      <c r="V161" s="35">
        <f t="shared" si="12"/>
        <v>0</v>
      </c>
    </row>
    <row r="162" spans="1:22" ht="15.75" thickBot="1" x14ac:dyDescent="0.3">
      <c r="A162" s="21">
        <v>158</v>
      </c>
      <c r="B162" s="150">
        <f>'X. Satser pensjonstilskudd'!B162</f>
        <v>0</v>
      </c>
      <c r="C162" s="18">
        <f>'X. Satser pensjonstilskudd'!C162</f>
        <v>0</v>
      </c>
      <c r="D162" s="18" t="str">
        <f>IFERROR(_xlfn.XLOOKUP($C162,factPensjon[Virksomhetsnr.],factPensjon[Forpliktelser]),"")</f>
        <v/>
      </c>
      <c r="E162" s="19">
        <f>SUMIFS(BasilRadata[Heltidsplasser
0-2],BasilRadata[År],'0. Oppsett'!$C$8,BasilRadata[1B. Organisasjonsnummer:],$C162)</f>
        <v>0</v>
      </c>
      <c r="F162" s="25">
        <f>'4. Selvkost og satser'!$B$54</f>
        <v>288170.9461329499</v>
      </c>
      <c r="G162" s="19">
        <f>SUMIFS(BasilRadata[Heltidsplasser
3-6],BasilRadata[År],'0. Oppsett'!$C$8,BasilRadata[1B. Organisasjonsnummer:],$C162)</f>
        <v>0</v>
      </c>
      <c r="H162" s="25">
        <f>'4. Selvkost og satser'!$B$55</f>
        <v>156604.23359926464</v>
      </c>
      <c r="I162" s="26">
        <f t="shared" si="9"/>
        <v>0</v>
      </c>
      <c r="J162" s="20">
        <f>SUMIFS(BasilRadata[8E. Oppgi antall årsverk barnehagen har pensjonsforpliktelser for:],'1. BASIL-rådata'!$I$3:$I$500,'X. Satser pensjonstilskudd'!$C162,BasilRadata[År],'0. Oppsett'!$C$8)</f>
        <v>0</v>
      </c>
      <c r="K162" s="30">
        <f>IFERROR(IF(OR(#REF!="",#REF!=""),0,J162*#REF!*#REF!*(1+'0. Oppsett'!$C$11)),0)</f>
        <v>0</v>
      </c>
      <c r="L162" s="95">
        <f t="shared" si="10"/>
        <v>0</v>
      </c>
      <c r="M162" s="31">
        <f t="shared" si="11"/>
        <v>0</v>
      </c>
      <c r="N162" s="32">
        <f>IFERROR(M162*'0. Oppsett'!$C$30,0)</f>
        <v>0</v>
      </c>
      <c r="O162" s="33">
        <v>0</v>
      </c>
      <c r="P162" s="142"/>
      <c r="Q162" s="142"/>
      <c r="R162" s="142"/>
      <c r="S162" s="142">
        <v>0</v>
      </c>
      <c r="T162" s="33">
        <v>0</v>
      </c>
      <c r="U162" s="34">
        <v>0</v>
      </c>
      <c r="V162" s="35">
        <f t="shared" si="12"/>
        <v>0</v>
      </c>
    </row>
    <row r="163" spans="1:22" ht="15.75" thickBot="1" x14ac:dyDescent="0.3">
      <c r="A163" s="17">
        <v>159</v>
      </c>
      <c r="B163" s="150">
        <f>'X. Satser pensjonstilskudd'!B163</f>
        <v>0</v>
      </c>
      <c r="C163" s="18">
        <f>'X. Satser pensjonstilskudd'!C163</f>
        <v>0</v>
      </c>
      <c r="D163" s="18" t="str">
        <f>IFERROR(_xlfn.XLOOKUP($C163,factPensjon[Virksomhetsnr.],factPensjon[Forpliktelser]),"")</f>
        <v/>
      </c>
      <c r="E163" s="19">
        <f>SUMIFS(BasilRadata[Heltidsplasser
0-2],BasilRadata[År],'0. Oppsett'!$C$8,BasilRadata[1B. Organisasjonsnummer:],$C163)</f>
        <v>0</v>
      </c>
      <c r="F163" s="25">
        <f>'4. Selvkost og satser'!$B$54</f>
        <v>288170.9461329499</v>
      </c>
      <c r="G163" s="19">
        <f>SUMIFS(BasilRadata[Heltidsplasser
3-6],BasilRadata[År],'0. Oppsett'!$C$8,BasilRadata[1B. Organisasjonsnummer:],$C163)</f>
        <v>0</v>
      </c>
      <c r="H163" s="25">
        <f>'4. Selvkost og satser'!$B$55</f>
        <v>156604.23359926464</v>
      </c>
      <c r="I163" s="26">
        <f t="shared" si="9"/>
        <v>0</v>
      </c>
      <c r="J163" s="20">
        <f>SUMIFS(BasilRadata[8E. Oppgi antall årsverk barnehagen har pensjonsforpliktelser for:],'1. BASIL-rådata'!$I$3:$I$500,'X. Satser pensjonstilskudd'!$C163,BasilRadata[År],'0. Oppsett'!$C$8)</f>
        <v>0</v>
      </c>
      <c r="K163" s="30">
        <f>IFERROR(IF(OR(#REF!="",#REF!=""),0,J163*#REF!*#REF!*(1+'0. Oppsett'!$C$11)),0)</f>
        <v>0</v>
      </c>
      <c r="L163" s="95">
        <f t="shared" si="10"/>
        <v>0</v>
      </c>
      <c r="M163" s="31">
        <f t="shared" si="11"/>
        <v>0</v>
      </c>
      <c r="N163" s="32">
        <f>IFERROR(M163*'0. Oppsett'!$C$30,0)</f>
        <v>0</v>
      </c>
      <c r="O163" s="33">
        <v>0</v>
      </c>
      <c r="P163" s="142"/>
      <c r="Q163" s="142"/>
      <c r="R163" s="142"/>
      <c r="S163" s="142">
        <v>0</v>
      </c>
      <c r="T163" s="33">
        <v>0</v>
      </c>
      <c r="U163" s="34">
        <v>0</v>
      </c>
      <c r="V163" s="35">
        <f t="shared" si="12"/>
        <v>0</v>
      </c>
    </row>
    <row r="164" spans="1:22" ht="15.75" thickBot="1" x14ac:dyDescent="0.3">
      <c r="A164" s="21">
        <v>160</v>
      </c>
      <c r="B164" s="150">
        <f>'X. Satser pensjonstilskudd'!B164</f>
        <v>0</v>
      </c>
      <c r="C164" s="18">
        <f>'X. Satser pensjonstilskudd'!C164</f>
        <v>0</v>
      </c>
      <c r="D164" s="18" t="str">
        <f>IFERROR(_xlfn.XLOOKUP($C164,factPensjon[Virksomhetsnr.],factPensjon[Forpliktelser]),"")</f>
        <v/>
      </c>
      <c r="E164" s="19">
        <f>SUMIFS(BasilRadata[Heltidsplasser
0-2],BasilRadata[År],'0. Oppsett'!$C$8,BasilRadata[1B. Organisasjonsnummer:],$C164)</f>
        <v>0</v>
      </c>
      <c r="F164" s="25">
        <f>'4. Selvkost og satser'!$B$54</f>
        <v>288170.9461329499</v>
      </c>
      <c r="G164" s="19">
        <f>SUMIFS(BasilRadata[Heltidsplasser
3-6],BasilRadata[År],'0. Oppsett'!$C$8,BasilRadata[1B. Organisasjonsnummer:],$C164)</f>
        <v>0</v>
      </c>
      <c r="H164" s="25">
        <f>'4. Selvkost og satser'!$B$55</f>
        <v>156604.23359926464</v>
      </c>
      <c r="I164" s="26">
        <f t="shared" si="9"/>
        <v>0</v>
      </c>
      <c r="J164" s="20">
        <f>SUMIFS(BasilRadata[8E. Oppgi antall årsverk barnehagen har pensjonsforpliktelser for:],'1. BASIL-rådata'!$I$3:$I$500,'X. Satser pensjonstilskudd'!$C164,BasilRadata[År],'0. Oppsett'!$C$8)</f>
        <v>0</v>
      </c>
      <c r="K164" s="30">
        <f>IFERROR(IF(OR(#REF!="",#REF!=""),0,J164*#REF!*#REF!*(1+'0. Oppsett'!$C$11)),0)</f>
        <v>0</v>
      </c>
      <c r="L164" s="95">
        <f t="shared" si="10"/>
        <v>0</v>
      </c>
      <c r="M164" s="31">
        <f t="shared" si="11"/>
        <v>0</v>
      </c>
      <c r="N164" s="32">
        <f>IFERROR(M164*'0. Oppsett'!$C$30,0)</f>
        <v>0</v>
      </c>
      <c r="O164" s="33">
        <v>0</v>
      </c>
      <c r="P164" s="142"/>
      <c r="Q164" s="142"/>
      <c r="R164" s="142"/>
      <c r="S164" s="142">
        <v>0</v>
      </c>
      <c r="T164" s="33">
        <v>0</v>
      </c>
      <c r="U164" s="34">
        <v>0</v>
      </c>
      <c r="V164" s="35">
        <f t="shared" si="12"/>
        <v>0</v>
      </c>
    </row>
    <row r="165" spans="1:22" ht="15.75" thickBot="1" x14ac:dyDescent="0.3">
      <c r="A165" s="17">
        <v>161</v>
      </c>
      <c r="B165" s="150">
        <f>'X. Satser pensjonstilskudd'!B165</f>
        <v>0</v>
      </c>
      <c r="C165" s="18">
        <f>'X. Satser pensjonstilskudd'!C165</f>
        <v>0</v>
      </c>
      <c r="D165" s="18" t="str">
        <f>IFERROR(_xlfn.XLOOKUP($C165,factPensjon[Virksomhetsnr.],factPensjon[Forpliktelser]),"")</f>
        <v/>
      </c>
      <c r="E165" s="19">
        <f>SUMIFS(BasilRadata[Heltidsplasser
0-2],BasilRadata[År],'0. Oppsett'!$C$8,BasilRadata[1B. Organisasjonsnummer:],$C165)</f>
        <v>0</v>
      </c>
      <c r="F165" s="25">
        <f>'4. Selvkost og satser'!$B$54</f>
        <v>288170.9461329499</v>
      </c>
      <c r="G165" s="19">
        <f>SUMIFS(BasilRadata[Heltidsplasser
3-6],BasilRadata[År],'0. Oppsett'!$C$8,BasilRadata[1B. Organisasjonsnummer:],$C165)</f>
        <v>0</v>
      </c>
      <c r="H165" s="25">
        <f>'4. Selvkost og satser'!$B$55</f>
        <v>156604.23359926464</v>
      </c>
      <c r="I165" s="26">
        <f t="shared" si="9"/>
        <v>0</v>
      </c>
      <c r="J165" s="20">
        <f>SUMIFS(BasilRadata[8E. Oppgi antall årsverk barnehagen har pensjonsforpliktelser for:],'1. BASIL-rådata'!$I$3:$I$500,'X. Satser pensjonstilskudd'!$C165,BasilRadata[År],'0. Oppsett'!$C$8)</f>
        <v>0</v>
      </c>
      <c r="K165" s="30">
        <f>IFERROR(IF(OR(#REF!="",#REF!=""),0,J165*#REF!*#REF!*(1+'0. Oppsett'!$C$11)),0)</f>
        <v>0</v>
      </c>
      <c r="L165" s="95">
        <f t="shared" si="10"/>
        <v>0</v>
      </c>
      <c r="M165" s="31">
        <f t="shared" si="11"/>
        <v>0</v>
      </c>
      <c r="N165" s="32">
        <f>IFERROR(M165*'0. Oppsett'!$C$30,0)</f>
        <v>0</v>
      </c>
      <c r="O165" s="33">
        <v>0</v>
      </c>
      <c r="P165" s="142"/>
      <c r="Q165" s="142"/>
      <c r="R165" s="142"/>
      <c r="S165" s="142">
        <v>0</v>
      </c>
      <c r="T165" s="33">
        <v>0</v>
      </c>
      <c r="U165" s="34">
        <v>0</v>
      </c>
      <c r="V165" s="35">
        <f t="shared" si="12"/>
        <v>0</v>
      </c>
    </row>
    <row r="166" spans="1:22" ht="15.75" thickBot="1" x14ac:dyDescent="0.3">
      <c r="A166" s="21">
        <v>162</v>
      </c>
      <c r="B166" s="150">
        <f>'X. Satser pensjonstilskudd'!B166</f>
        <v>0</v>
      </c>
      <c r="C166" s="18">
        <f>'X. Satser pensjonstilskudd'!C166</f>
        <v>0</v>
      </c>
      <c r="D166" s="18" t="str">
        <f>IFERROR(_xlfn.XLOOKUP($C166,factPensjon[Virksomhetsnr.],factPensjon[Forpliktelser]),"")</f>
        <v/>
      </c>
      <c r="E166" s="19">
        <f>SUMIFS(BasilRadata[Heltidsplasser
0-2],BasilRadata[År],'0. Oppsett'!$C$8,BasilRadata[1B. Organisasjonsnummer:],$C166)</f>
        <v>0</v>
      </c>
      <c r="F166" s="25">
        <f>'4. Selvkost og satser'!$B$54</f>
        <v>288170.9461329499</v>
      </c>
      <c r="G166" s="19">
        <f>SUMIFS(BasilRadata[Heltidsplasser
3-6],BasilRadata[År],'0. Oppsett'!$C$8,BasilRadata[1B. Organisasjonsnummer:],$C166)</f>
        <v>0</v>
      </c>
      <c r="H166" s="25">
        <f>'4. Selvkost og satser'!$B$55</f>
        <v>156604.23359926464</v>
      </c>
      <c r="I166" s="26">
        <f t="shared" si="9"/>
        <v>0</v>
      </c>
      <c r="J166" s="20">
        <f>SUMIFS(BasilRadata[8E. Oppgi antall årsverk barnehagen har pensjonsforpliktelser for:],'1. BASIL-rådata'!$I$3:$I$500,'X. Satser pensjonstilskudd'!$C166,BasilRadata[År],'0. Oppsett'!$C$8)</f>
        <v>0</v>
      </c>
      <c r="K166" s="30">
        <f>IFERROR(IF(OR(#REF!="",#REF!=""),0,J166*#REF!*#REF!*(1+'0. Oppsett'!$C$11)),0)</f>
        <v>0</v>
      </c>
      <c r="L166" s="95">
        <f t="shared" si="10"/>
        <v>0</v>
      </c>
      <c r="M166" s="31">
        <f t="shared" si="11"/>
        <v>0</v>
      </c>
      <c r="N166" s="32">
        <f>IFERROR(M166*'0. Oppsett'!$C$30,0)</f>
        <v>0</v>
      </c>
      <c r="O166" s="33">
        <v>0</v>
      </c>
      <c r="P166" s="142"/>
      <c r="Q166" s="142"/>
      <c r="R166" s="142"/>
      <c r="S166" s="142">
        <v>0</v>
      </c>
      <c r="T166" s="33">
        <v>0</v>
      </c>
      <c r="U166" s="34">
        <v>0</v>
      </c>
      <c r="V166" s="35">
        <f t="shared" si="12"/>
        <v>0</v>
      </c>
    </row>
    <row r="167" spans="1:22" ht="15.75" thickBot="1" x14ac:dyDescent="0.3">
      <c r="A167" s="17">
        <v>163</v>
      </c>
      <c r="B167" s="150">
        <f>'X. Satser pensjonstilskudd'!B167</f>
        <v>0</v>
      </c>
      <c r="C167" s="18">
        <f>'X. Satser pensjonstilskudd'!C167</f>
        <v>0</v>
      </c>
      <c r="D167" s="18" t="str">
        <f>IFERROR(_xlfn.XLOOKUP($C167,factPensjon[Virksomhetsnr.],factPensjon[Forpliktelser]),"")</f>
        <v/>
      </c>
      <c r="E167" s="19">
        <f>SUMIFS(BasilRadata[Heltidsplasser
0-2],BasilRadata[År],'0. Oppsett'!$C$8,BasilRadata[1B. Organisasjonsnummer:],$C167)</f>
        <v>0</v>
      </c>
      <c r="F167" s="25">
        <f>'4. Selvkost og satser'!$B$54</f>
        <v>288170.9461329499</v>
      </c>
      <c r="G167" s="19">
        <f>SUMIFS(BasilRadata[Heltidsplasser
3-6],BasilRadata[År],'0. Oppsett'!$C$8,BasilRadata[1B. Organisasjonsnummer:],$C167)</f>
        <v>0</v>
      </c>
      <c r="H167" s="25">
        <f>'4. Selvkost og satser'!$B$55</f>
        <v>156604.23359926464</v>
      </c>
      <c r="I167" s="26">
        <f t="shared" si="9"/>
        <v>0</v>
      </c>
      <c r="J167" s="20">
        <f>SUMIFS(BasilRadata[8E. Oppgi antall årsverk barnehagen har pensjonsforpliktelser for:],'1. BASIL-rådata'!$I$3:$I$500,'X. Satser pensjonstilskudd'!$C167,BasilRadata[År],'0. Oppsett'!$C$8)</f>
        <v>0</v>
      </c>
      <c r="K167" s="30">
        <f>IFERROR(IF(OR(#REF!="",#REF!=""),0,J167*#REF!*#REF!*(1+'0. Oppsett'!$C$11)),0)</f>
        <v>0</v>
      </c>
      <c r="L167" s="95">
        <f t="shared" si="10"/>
        <v>0</v>
      </c>
      <c r="M167" s="31">
        <f t="shared" si="11"/>
        <v>0</v>
      </c>
      <c r="N167" s="32">
        <f>IFERROR(M167*'0. Oppsett'!$C$30,0)</f>
        <v>0</v>
      </c>
      <c r="O167" s="33">
        <v>0</v>
      </c>
      <c r="P167" s="142"/>
      <c r="Q167" s="142"/>
      <c r="R167" s="142"/>
      <c r="S167" s="142">
        <v>0</v>
      </c>
      <c r="T167" s="33">
        <v>0</v>
      </c>
      <c r="U167" s="34">
        <v>0</v>
      </c>
      <c r="V167" s="35">
        <f t="shared" si="12"/>
        <v>0</v>
      </c>
    </row>
    <row r="168" spans="1:22" ht="15.75" thickBot="1" x14ac:dyDescent="0.3">
      <c r="A168" s="21">
        <v>164</v>
      </c>
      <c r="B168" s="150">
        <f>'X. Satser pensjonstilskudd'!B168</f>
        <v>0</v>
      </c>
      <c r="C168" s="18">
        <f>'X. Satser pensjonstilskudd'!C168</f>
        <v>0</v>
      </c>
      <c r="D168" s="18" t="str">
        <f>IFERROR(_xlfn.XLOOKUP($C168,factPensjon[Virksomhetsnr.],factPensjon[Forpliktelser]),"")</f>
        <v/>
      </c>
      <c r="E168" s="19">
        <f>SUMIFS(BasilRadata[Heltidsplasser
0-2],BasilRadata[År],'0. Oppsett'!$C$8,BasilRadata[1B. Organisasjonsnummer:],$C168)</f>
        <v>0</v>
      </c>
      <c r="F168" s="25">
        <f>'4. Selvkost og satser'!$B$54</f>
        <v>288170.9461329499</v>
      </c>
      <c r="G168" s="19">
        <f>SUMIFS(BasilRadata[Heltidsplasser
3-6],BasilRadata[År],'0. Oppsett'!$C$8,BasilRadata[1B. Organisasjonsnummer:],$C168)</f>
        <v>0</v>
      </c>
      <c r="H168" s="25">
        <f>'4. Selvkost og satser'!$B$55</f>
        <v>156604.23359926464</v>
      </c>
      <c r="I168" s="26">
        <f t="shared" si="9"/>
        <v>0</v>
      </c>
      <c r="J168" s="20">
        <f>SUMIFS(BasilRadata[8E. Oppgi antall årsverk barnehagen har pensjonsforpliktelser for:],'1. BASIL-rådata'!$I$3:$I$500,'X. Satser pensjonstilskudd'!$C168,BasilRadata[År],'0. Oppsett'!$C$8)</f>
        <v>0</v>
      </c>
      <c r="K168" s="30">
        <f>IFERROR(IF(OR(#REF!="",#REF!=""),0,J168*#REF!*#REF!*(1+'0. Oppsett'!$C$11)),0)</f>
        <v>0</v>
      </c>
      <c r="L168" s="95">
        <f t="shared" si="10"/>
        <v>0</v>
      </c>
      <c r="M168" s="31">
        <f t="shared" si="11"/>
        <v>0</v>
      </c>
      <c r="N168" s="32">
        <f>IFERROR(M168*'0. Oppsett'!$C$30,0)</f>
        <v>0</v>
      </c>
      <c r="O168" s="33">
        <v>0</v>
      </c>
      <c r="P168" s="142"/>
      <c r="Q168" s="142"/>
      <c r="R168" s="142"/>
      <c r="S168" s="142">
        <v>0</v>
      </c>
      <c r="T168" s="33">
        <v>0</v>
      </c>
      <c r="U168" s="34">
        <v>0</v>
      </c>
      <c r="V168" s="35">
        <f t="shared" si="12"/>
        <v>0</v>
      </c>
    </row>
    <row r="169" spans="1:22" ht="15.75" thickBot="1" x14ac:dyDescent="0.3">
      <c r="A169" s="17">
        <v>165</v>
      </c>
      <c r="B169" s="150">
        <f>'X. Satser pensjonstilskudd'!B169</f>
        <v>0</v>
      </c>
      <c r="C169" s="18">
        <f>'X. Satser pensjonstilskudd'!C169</f>
        <v>0</v>
      </c>
      <c r="D169" s="18" t="str">
        <f>IFERROR(_xlfn.XLOOKUP($C169,factPensjon[Virksomhetsnr.],factPensjon[Forpliktelser]),"")</f>
        <v/>
      </c>
      <c r="E169" s="19">
        <f>SUMIFS(BasilRadata[Heltidsplasser
0-2],BasilRadata[År],'0. Oppsett'!$C$8,BasilRadata[1B. Organisasjonsnummer:],$C169)</f>
        <v>0</v>
      </c>
      <c r="F169" s="25">
        <f>'4. Selvkost og satser'!$B$54</f>
        <v>288170.9461329499</v>
      </c>
      <c r="G169" s="19">
        <f>SUMIFS(BasilRadata[Heltidsplasser
3-6],BasilRadata[År],'0. Oppsett'!$C$8,BasilRadata[1B. Organisasjonsnummer:],$C169)</f>
        <v>0</v>
      </c>
      <c r="H169" s="25">
        <f>'4. Selvkost og satser'!$B$55</f>
        <v>156604.23359926464</v>
      </c>
      <c r="I169" s="26">
        <f t="shared" si="9"/>
        <v>0</v>
      </c>
      <c r="J169" s="20">
        <f>SUMIFS(BasilRadata[8E. Oppgi antall årsverk barnehagen har pensjonsforpliktelser for:],'1. BASIL-rådata'!$I$3:$I$500,'X. Satser pensjonstilskudd'!$C169,BasilRadata[År],'0. Oppsett'!$C$8)</f>
        <v>0</v>
      </c>
      <c r="K169" s="30">
        <f>IFERROR(IF(OR(#REF!="",#REF!=""),0,J169*#REF!*#REF!*(1+'0. Oppsett'!$C$11)),0)</f>
        <v>0</v>
      </c>
      <c r="L169" s="95">
        <f t="shared" si="10"/>
        <v>0</v>
      </c>
      <c r="M169" s="31">
        <f t="shared" si="11"/>
        <v>0</v>
      </c>
      <c r="N169" s="32">
        <f>IFERROR(M169*'0. Oppsett'!$C$30,0)</f>
        <v>0</v>
      </c>
      <c r="O169" s="33">
        <v>0</v>
      </c>
      <c r="P169" s="142"/>
      <c r="Q169" s="142"/>
      <c r="R169" s="142"/>
      <c r="S169" s="142">
        <v>0</v>
      </c>
      <c r="T169" s="33">
        <v>0</v>
      </c>
      <c r="U169" s="34">
        <v>0</v>
      </c>
      <c r="V169" s="35">
        <f t="shared" si="12"/>
        <v>0</v>
      </c>
    </row>
    <row r="170" spans="1:22" ht="15.75" thickBot="1" x14ac:dyDescent="0.3">
      <c r="A170" s="21">
        <v>166</v>
      </c>
      <c r="B170" s="150">
        <f>'X. Satser pensjonstilskudd'!B170</f>
        <v>0</v>
      </c>
      <c r="C170" s="18">
        <f>'X. Satser pensjonstilskudd'!C170</f>
        <v>0</v>
      </c>
      <c r="D170" s="18" t="str">
        <f>IFERROR(_xlfn.XLOOKUP($C170,factPensjon[Virksomhetsnr.],factPensjon[Forpliktelser]),"")</f>
        <v/>
      </c>
      <c r="E170" s="19">
        <f>SUMIFS(BasilRadata[Heltidsplasser
0-2],BasilRadata[År],'0. Oppsett'!$C$8,BasilRadata[1B. Organisasjonsnummer:],$C170)</f>
        <v>0</v>
      </c>
      <c r="F170" s="25">
        <f>'4. Selvkost og satser'!$B$54</f>
        <v>288170.9461329499</v>
      </c>
      <c r="G170" s="19">
        <f>SUMIFS(BasilRadata[Heltidsplasser
3-6],BasilRadata[År],'0. Oppsett'!$C$8,BasilRadata[1B. Organisasjonsnummer:],$C170)</f>
        <v>0</v>
      </c>
      <c r="H170" s="25">
        <f>'4. Selvkost og satser'!$B$55</f>
        <v>156604.23359926464</v>
      </c>
      <c r="I170" s="26">
        <f t="shared" si="9"/>
        <v>0</v>
      </c>
      <c r="J170" s="20">
        <f>SUMIFS(BasilRadata[8E. Oppgi antall årsverk barnehagen har pensjonsforpliktelser for:],'1. BASIL-rådata'!$I$3:$I$500,'X. Satser pensjonstilskudd'!$C170,BasilRadata[År],'0. Oppsett'!$C$8)</f>
        <v>0</v>
      </c>
      <c r="K170" s="30">
        <f>IFERROR(IF(OR(#REF!="",#REF!=""),0,J170*#REF!*#REF!*(1+'0. Oppsett'!$C$11)),0)</f>
        <v>0</v>
      </c>
      <c r="L170" s="95">
        <f t="shared" si="10"/>
        <v>0</v>
      </c>
      <c r="M170" s="31">
        <f t="shared" si="11"/>
        <v>0</v>
      </c>
      <c r="N170" s="32">
        <f>IFERROR(M170*'0. Oppsett'!$C$30,0)</f>
        <v>0</v>
      </c>
      <c r="O170" s="33">
        <v>0</v>
      </c>
      <c r="P170" s="142"/>
      <c r="Q170" s="142"/>
      <c r="R170" s="142"/>
      <c r="S170" s="142">
        <v>0</v>
      </c>
      <c r="T170" s="33">
        <v>0</v>
      </c>
      <c r="U170" s="34">
        <v>0</v>
      </c>
      <c r="V170" s="35">
        <f t="shared" si="12"/>
        <v>0</v>
      </c>
    </row>
    <row r="171" spans="1:22" ht="15.75" thickBot="1" x14ac:dyDescent="0.3">
      <c r="A171" s="17">
        <v>167</v>
      </c>
      <c r="B171" s="150">
        <f>'X. Satser pensjonstilskudd'!B171</f>
        <v>0</v>
      </c>
      <c r="C171" s="18">
        <f>'X. Satser pensjonstilskudd'!C171</f>
        <v>0</v>
      </c>
      <c r="D171" s="18" t="str">
        <f>IFERROR(_xlfn.XLOOKUP($C171,factPensjon[Virksomhetsnr.],factPensjon[Forpliktelser]),"")</f>
        <v/>
      </c>
      <c r="E171" s="19">
        <f>SUMIFS(BasilRadata[Heltidsplasser
0-2],BasilRadata[År],'0. Oppsett'!$C$8,BasilRadata[1B. Organisasjonsnummer:],$C171)</f>
        <v>0</v>
      </c>
      <c r="F171" s="25">
        <f>'4. Selvkost og satser'!$B$54</f>
        <v>288170.9461329499</v>
      </c>
      <c r="G171" s="19">
        <f>SUMIFS(BasilRadata[Heltidsplasser
3-6],BasilRadata[År],'0. Oppsett'!$C$8,BasilRadata[1B. Organisasjonsnummer:],$C171)</f>
        <v>0</v>
      </c>
      <c r="H171" s="25">
        <f>'4. Selvkost og satser'!$B$55</f>
        <v>156604.23359926464</v>
      </c>
      <c r="I171" s="26">
        <f t="shared" si="9"/>
        <v>0</v>
      </c>
      <c r="J171" s="20">
        <f>SUMIFS(BasilRadata[8E. Oppgi antall årsverk barnehagen har pensjonsforpliktelser for:],'1. BASIL-rådata'!$I$3:$I$500,'X. Satser pensjonstilskudd'!$C171,BasilRadata[År],'0. Oppsett'!$C$8)</f>
        <v>0</v>
      </c>
      <c r="K171" s="30">
        <f>IFERROR(IF(OR(#REF!="",#REF!=""),0,J171*#REF!*#REF!*(1+'0. Oppsett'!$C$11)),0)</f>
        <v>0</v>
      </c>
      <c r="L171" s="95">
        <f t="shared" si="10"/>
        <v>0</v>
      </c>
      <c r="M171" s="31">
        <f t="shared" si="11"/>
        <v>0</v>
      </c>
      <c r="N171" s="32">
        <f>IFERROR(M171*'0. Oppsett'!$C$30,0)</f>
        <v>0</v>
      </c>
      <c r="O171" s="33">
        <v>0</v>
      </c>
      <c r="P171" s="142"/>
      <c r="Q171" s="142"/>
      <c r="R171" s="142"/>
      <c r="S171" s="142">
        <v>0</v>
      </c>
      <c r="T171" s="33">
        <v>0</v>
      </c>
      <c r="U171" s="34">
        <v>0</v>
      </c>
      <c r="V171" s="35">
        <f t="shared" si="12"/>
        <v>0</v>
      </c>
    </row>
    <row r="172" spans="1:22" ht="15.75" thickBot="1" x14ac:dyDescent="0.3">
      <c r="A172" s="21">
        <v>168</v>
      </c>
      <c r="B172" s="150">
        <f>'X. Satser pensjonstilskudd'!B172</f>
        <v>0</v>
      </c>
      <c r="C172" s="18">
        <f>'X. Satser pensjonstilskudd'!C172</f>
        <v>0</v>
      </c>
      <c r="D172" s="18" t="str">
        <f>IFERROR(_xlfn.XLOOKUP($C172,factPensjon[Virksomhetsnr.],factPensjon[Forpliktelser]),"")</f>
        <v/>
      </c>
      <c r="E172" s="19">
        <f>SUMIFS(BasilRadata[Heltidsplasser
0-2],BasilRadata[År],'0. Oppsett'!$C$8,BasilRadata[1B. Organisasjonsnummer:],$C172)</f>
        <v>0</v>
      </c>
      <c r="F172" s="25">
        <f>'4. Selvkost og satser'!$B$54</f>
        <v>288170.9461329499</v>
      </c>
      <c r="G172" s="19">
        <f>SUMIFS(BasilRadata[Heltidsplasser
3-6],BasilRadata[År],'0. Oppsett'!$C$8,BasilRadata[1B. Organisasjonsnummer:],$C172)</f>
        <v>0</v>
      </c>
      <c r="H172" s="25">
        <f>'4. Selvkost og satser'!$B$55</f>
        <v>156604.23359926464</v>
      </c>
      <c r="I172" s="26">
        <f t="shared" si="9"/>
        <v>0</v>
      </c>
      <c r="J172" s="20">
        <f>SUMIFS(BasilRadata[8E. Oppgi antall årsverk barnehagen har pensjonsforpliktelser for:],'1. BASIL-rådata'!$I$3:$I$500,'X. Satser pensjonstilskudd'!$C172,BasilRadata[År],'0. Oppsett'!$C$8)</f>
        <v>0</v>
      </c>
      <c r="K172" s="30">
        <f>IFERROR(IF(OR(#REF!="",#REF!=""),0,J172*#REF!*#REF!*(1+'0. Oppsett'!$C$11)),0)</f>
        <v>0</v>
      </c>
      <c r="L172" s="95">
        <f t="shared" si="10"/>
        <v>0</v>
      </c>
      <c r="M172" s="31">
        <f t="shared" si="11"/>
        <v>0</v>
      </c>
      <c r="N172" s="32">
        <f>IFERROR(M172*'0. Oppsett'!$C$30,0)</f>
        <v>0</v>
      </c>
      <c r="O172" s="33">
        <v>0</v>
      </c>
      <c r="P172" s="142"/>
      <c r="Q172" s="142"/>
      <c r="R172" s="142"/>
      <c r="S172" s="142">
        <v>0</v>
      </c>
      <c r="T172" s="33">
        <v>0</v>
      </c>
      <c r="U172" s="34">
        <v>0</v>
      </c>
      <c r="V172" s="35">
        <f t="shared" si="12"/>
        <v>0</v>
      </c>
    </row>
    <row r="173" spans="1:22" ht="15.75" thickBot="1" x14ac:dyDescent="0.3">
      <c r="A173" s="17">
        <v>169</v>
      </c>
      <c r="B173" s="150">
        <f>'X. Satser pensjonstilskudd'!B173</f>
        <v>0</v>
      </c>
      <c r="C173" s="18">
        <f>'X. Satser pensjonstilskudd'!C173</f>
        <v>0</v>
      </c>
      <c r="D173" s="18" t="str">
        <f>IFERROR(_xlfn.XLOOKUP($C173,factPensjon[Virksomhetsnr.],factPensjon[Forpliktelser]),"")</f>
        <v/>
      </c>
      <c r="E173" s="19">
        <f>SUMIFS(BasilRadata[Heltidsplasser
0-2],BasilRadata[År],'0. Oppsett'!$C$8,BasilRadata[1B. Organisasjonsnummer:],$C173)</f>
        <v>0</v>
      </c>
      <c r="F173" s="25">
        <f>'4. Selvkost og satser'!$B$54</f>
        <v>288170.9461329499</v>
      </c>
      <c r="G173" s="19">
        <f>SUMIFS(BasilRadata[Heltidsplasser
3-6],BasilRadata[År],'0. Oppsett'!$C$8,BasilRadata[1B. Organisasjonsnummer:],$C173)</f>
        <v>0</v>
      </c>
      <c r="H173" s="25">
        <f>'4. Selvkost og satser'!$B$55</f>
        <v>156604.23359926464</v>
      </c>
      <c r="I173" s="26">
        <f t="shared" si="9"/>
        <v>0</v>
      </c>
      <c r="J173" s="20">
        <f>SUMIFS(BasilRadata[8E. Oppgi antall årsverk barnehagen har pensjonsforpliktelser for:],'1. BASIL-rådata'!$I$3:$I$500,'X. Satser pensjonstilskudd'!$C173,BasilRadata[År],'0. Oppsett'!$C$8)</f>
        <v>0</v>
      </c>
      <c r="K173" s="30">
        <f>IFERROR(IF(OR(#REF!="",#REF!=""),0,J173*#REF!*#REF!*(1+'0. Oppsett'!$C$11)),0)</f>
        <v>0</v>
      </c>
      <c r="L173" s="95">
        <f t="shared" si="10"/>
        <v>0</v>
      </c>
      <c r="M173" s="31">
        <f t="shared" si="11"/>
        <v>0</v>
      </c>
      <c r="N173" s="32">
        <f>IFERROR(M173*'0. Oppsett'!$C$30,0)</f>
        <v>0</v>
      </c>
      <c r="O173" s="33">
        <v>0</v>
      </c>
      <c r="P173" s="142"/>
      <c r="Q173" s="142"/>
      <c r="R173" s="142"/>
      <c r="S173" s="142">
        <v>0</v>
      </c>
      <c r="T173" s="33">
        <v>0</v>
      </c>
      <c r="U173" s="34">
        <v>0</v>
      </c>
      <c r="V173" s="35">
        <f t="shared" si="12"/>
        <v>0</v>
      </c>
    </row>
    <row r="174" spans="1:22" ht="15.75" thickBot="1" x14ac:dyDescent="0.3">
      <c r="A174" s="21">
        <v>170</v>
      </c>
      <c r="B174" s="150">
        <f>'X. Satser pensjonstilskudd'!B174</f>
        <v>0</v>
      </c>
      <c r="C174" s="18">
        <f>'X. Satser pensjonstilskudd'!C174</f>
        <v>0</v>
      </c>
      <c r="D174" s="18" t="str">
        <f>IFERROR(_xlfn.XLOOKUP($C174,factPensjon[Virksomhetsnr.],factPensjon[Forpliktelser]),"")</f>
        <v/>
      </c>
      <c r="E174" s="19">
        <f>SUMIFS(BasilRadata[Heltidsplasser
0-2],BasilRadata[År],'0. Oppsett'!$C$8,BasilRadata[1B. Organisasjonsnummer:],$C174)</f>
        <v>0</v>
      </c>
      <c r="F174" s="25">
        <f>'4. Selvkost og satser'!$B$54</f>
        <v>288170.9461329499</v>
      </c>
      <c r="G174" s="19">
        <f>SUMIFS(BasilRadata[Heltidsplasser
3-6],BasilRadata[År],'0. Oppsett'!$C$8,BasilRadata[1B. Organisasjonsnummer:],$C174)</f>
        <v>0</v>
      </c>
      <c r="H174" s="25">
        <f>'4. Selvkost og satser'!$B$55</f>
        <v>156604.23359926464</v>
      </c>
      <c r="I174" s="26">
        <f t="shared" si="9"/>
        <v>0</v>
      </c>
      <c r="J174" s="20">
        <f>SUMIFS(BasilRadata[8E. Oppgi antall årsverk barnehagen har pensjonsforpliktelser for:],'1. BASIL-rådata'!$I$3:$I$500,'X. Satser pensjonstilskudd'!$C174,BasilRadata[År],'0. Oppsett'!$C$8)</f>
        <v>0</v>
      </c>
      <c r="K174" s="30">
        <f>IFERROR(IF(OR(#REF!="",#REF!=""),0,J174*#REF!*#REF!*(1+'0. Oppsett'!$C$11)),0)</f>
        <v>0</v>
      </c>
      <c r="L174" s="95">
        <f t="shared" si="10"/>
        <v>0</v>
      </c>
      <c r="M174" s="31">
        <f t="shared" si="11"/>
        <v>0</v>
      </c>
      <c r="N174" s="32">
        <f>IFERROR(M174*'0. Oppsett'!$C$30,0)</f>
        <v>0</v>
      </c>
      <c r="O174" s="33">
        <v>0</v>
      </c>
      <c r="P174" s="142"/>
      <c r="Q174" s="142"/>
      <c r="R174" s="142"/>
      <c r="S174" s="142">
        <v>0</v>
      </c>
      <c r="T174" s="33">
        <v>0</v>
      </c>
      <c r="U174" s="34">
        <v>0</v>
      </c>
      <c r="V174" s="35">
        <f t="shared" si="12"/>
        <v>0</v>
      </c>
    </row>
    <row r="175" spans="1:22" ht="15.75" thickBot="1" x14ac:dyDescent="0.3">
      <c r="A175" s="17">
        <v>171</v>
      </c>
      <c r="B175" s="150">
        <f>'X. Satser pensjonstilskudd'!B175</f>
        <v>0</v>
      </c>
      <c r="C175" s="18">
        <f>'X. Satser pensjonstilskudd'!C175</f>
        <v>0</v>
      </c>
      <c r="D175" s="18" t="str">
        <f>IFERROR(_xlfn.XLOOKUP($C175,factPensjon[Virksomhetsnr.],factPensjon[Forpliktelser]),"")</f>
        <v/>
      </c>
      <c r="E175" s="19">
        <f>SUMIFS(BasilRadata[Heltidsplasser
0-2],BasilRadata[År],'0. Oppsett'!$C$8,BasilRadata[1B. Organisasjonsnummer:],$C175)</f>
        <v>0</v>
      </c>
      <c r="F175" s="25">
        <f>'4. Selvkost og satser'!$B$54</f>
        <v>288170.9461329499</v>
      </c>
      <c r="G175" s="19">
        <f>SUMIFS(BasilRadata[Heltidsplasser
3-6],BasilRadata[År],'0. Oppsett'!$C$8,BasilRadata[1B. Organisasjonsnummer:],$C175)</f>
        <v>0</v>
      </c>
      <c r="H175" s="25">
        <f>'4. Selvkost og satser'!$B$55</f>
        <v>156604.23359926464</v>
      </c>
      <c r="I175" s="26">
        <f t="shared" si="9"/>
        <v>0</v>
      </c>
      <c r="J175" s="20">
        <f>SUMIFS(BasilRadata[8E. Oppgi antall årsverk barnehagen har pensjonsforpliktelser for:],'1. BASIL-rådata'!$I$3:$I$500,'X. Satser pensjonstilskudd'!$C175,BasilRadata[År],'0. Oppsett'!$C$8)</f>
        <v>0</v>
      </c>
      <c r="K175" s="30">
        <f>IFERROR(IF(OR(#REF!="",#REF!=""),0,J175*#REF!*#REF!*(1+'0. Oppsett'!$C$11)),0)</f>
        <v>0</v>
      </c>
      <c r="L175" s="95">
        <f t="shared" si="10"/>
        <v>0</v>
      </c>
      <c r="M175" s="31">
        <f t="shared" si="11"/>
        <v>0</v>
      </c>
      <c r="N175" s="32">
        <f>IFERROR(M175*'0. Oppsett'!$C$30,0)</f>
        <v>0</v>
      </c>
      <c r="O175" s="33">
        <v>0</v>
      </c>
      <c r="P175" s="142"/>
      <c r="Q175" s="142"/>
      <c r="R175" s="142"/>
      <c r="S175" s="142">
        <v>0</v>
      </c>
      <c r="T175" s="33">
        <v>0</v>
      </c>
      <c r="U175" s="34">
        <v>0</v>
      </c>
      <c r="V175" s="35">
        <f t="shared" si="12"/>
        <v>0</v>
      </c>
    </row>
    <row r="176" spans="1:22" ht="15.75" thickBot="1" x14ac:dyDescent="0.3">
      <c r="A176" s="21">
        <v>172</v>
      </c>
      <c r="B176" s="150">
        <f>'X. Satser pensjonstilskudd'!B176</f>
        <v>0</v>
      </c>
      <c r="C176" s="18">
        <f>'X. Satser pensjonstilskudd'!C176</f>
        <v>0</v>
      </c>
      <c r="D176" s="18" t="str">
        <f>IFERROR(_xlfn.XLOOKUP($C176,factPensjon[Virksomhetsnr.],factPensjon[Forpliktelser]),"")</f>
        <v/>
      </c>
      <c r="E176" s="19">
        <f>SUMIFS(BasilRadata[Heltidsplasser
0-2],BasilRadata[År],'0. Oppsett'!$C$8,BasilRadata[1B. Organisasjonsnummer:],$C176)</f>
        <v>0</v>
      </c>
      <c r="F176" s="25">
        <f>'4. Selvkost og satser'!$B$54</f>
        <v>288170.9461329499</v>
      </c>
      <c r="G176" s="19">
        <f>SUMIFS(BasilRadata[Heltidsplasser
3-6],BasilRadata[År],'0. Oppsett'!$C$8,BasilRadata[1B. Organisasjonsnummer:],$C176)</f>
        <v>0</v>
      </c>
      <c r="H176" s="25">
        <f>'4. Selvkost og satser'!$B$55</f>
        <v>156604.23359926464</v>
      </c>
      <c r="I176" s="26">
        <f t="shared" si="9"/>
        <v>0</v>
      </c>
      <c r="J176" s="20">
        <f>SUMIFS(BasilRadata[8E. Oppgi antall årsverk barnehagen har pensjonsforpliktelser for:],'1. BASIL-rådata'!$I$3:$I$500,'X. Satser pensjonstilskudd'!$C176,BasilRadata[År],'0. Oppsett'!$C$8)</f>
        <v>0</v>
      </c>
      <c r="K176" s="30">
        <f>IFERROR(IF(OR(#REF!="",#REF!=""),0,J176*#REF!*#REF!*(1+'0. Oppsett'!$C$11)),0)</f>
        <v>0</v>
      </c>
      <c r="L176" s="95">
        <f t="shared" si="10"/>
        <v>0</v>
      </c>
      <c r="M176" s="31">
        <f t="shared" si="11"/>
        <v>0</v>
      </c>
      <c r="N176" s="32">
        <f>IFERROR(M176*'0. Oppsett'!$C$30,0)</f>
        <v>0</v>
      </c>
      <c r="O176" s="33">
        <v>0</v>
      </c>
      <c r="P176" s="142"/>
      <c r="Q176" s="142"/>
      <c r="R176" s="142"/>
      <c r="S176" s="142">
        <v>0</v>
      </c>
      <c r="T176" s="33">
        <v>0</v>
      </c>
      <c r="U176" s="34">
        <v>0</v>
      </c>
      <c r="V176" s="35">
        <f t="shared" si="12"/>
        <v>0</v>
      </c>
    </row>
    <row r="177" spans="1:22" ht="15.75" thickBot="1" x14ac:dyDescent="0.3">
      <c r="A177" s="17">
        <v>173</v>
      </c>
      <c r="B177" s="150">
        <f>'X. Satser pensjonstilskudd'!B177</f>
        <v>0</v>
      </c>
      <c r="C177" s="18">
        <f>'X. Satser pensjonstilskudd'!C177</f>
        <v>0</v>
      </c>
      <c r="D177" s="18" t="str">
        <f>IFERROR(_xlfn.XLOOKUP($C177,factPensjon[Virksomhetsnr.],factPensjon[Forpliktelser]),"")</f>
        <v/>
      </c>
      <c r="E177" s="19">
        <f>SUMIFS(BasilRadata[Heltidsplasser
0-2],BasilRadata[År],'0. Oppsett'!$C$8,BasilRadata[1B. Organisasjonsnummer:],$C177)</f>
        <v>0</v>
      </c>
      <c r="F177" s="25">
        <f>'4. Selvkost og satser'!$B$54</f>
        <v>288170.9461329499</v>
      </c>
      <c r="G177" s="19">
        <f>SUMIFS(BasilRadata[Heltidsplasser
3-6],BasilRadata[År],'0. Oppsett'!$C$8,BasilRadata[1B. Organisasjonsnummer:],$C177)</f>
        <v>0</v>
      </c>
      <c r="H177" s="25">
        <f>'4. Selvkost og satser'!$B$55</f>
        <v>156604.23359926464</v>
      </c>
      <c r="I177" s="26">
        <f t="shared" si="9"/>
        <v>0</v>
      </c>
      <c r="J177" s="20">
        <f>SUMIFS(BasilRadata[8E. Oppgi antall årsverk barnehagen har pensjonsforpliktelser for:],'1. BASIL-rådata'!$I$3:$I$500,'X. Satser pensjonstilskudd'!$C177,BasilRadata[År],'0. Oppsett'!$C$8)</f>
        <v>0</v>
      </c>
      <c r="K177" s="30">
        <f>IFERROR(IF(OR(#REF!="",#REF!=""),0,J177*#REF!*#REF!*(1+'0. Oppsett'!$C$11)),0)</f>
        <v>0</v>
      </c>
      <c r="L177" s="95">
        <f t="shared" si="10"/>
        <v>0</v>
      </c>
      <c r="M177" s="31">
        <f t="shared" si="11"/>
        <v>0</v>
      </c>
      <c r="N177" s="32">
        <f>IFERROR(M177*'0. Oppsett'!$C$30,0)</f>
        <v>0</v>
      </c>
      <c r="O177" s="33">
        <v>0</v>
      </c>
      <c r="P177" s="142"/>
      <c r="Q177" s="142"/>
      <c r="R177" s="142"/>
      <c r="S177" s="142">
        <v>0</v>
      </c>
      <c r="T177" s="33">
        <v>0</v>
      </c>
      <c r="U177" s="34">
        <v>0</v>
      </c>
      <c r="V177" s="35">
        <f t="shared" si="12"/>
        <v>0</v>
      </c>
    </row>
    <row r="178" spans="1:22" ht="15.75" thickBot="1" x14ac:dyDescent="0.3">
      <c r="A178" s="21">
        <v>174</v>
      </c>
      <c r="B178" s="150">
        <f>'X. Satser pensjonstilskudd'!B178</f>
        <v>0</v>
      </c>
      <c r="C178" s="18">
        <f>'X. Satser pensjonstilskudd'!C178</f>
        <v>0</v>
      </c>
      <c r="D178" s="18" t="str">
        <f>IFERROR(_xlfn.XLOOKUP($C178,factPensjon[Virksomhetsnr.],factPensjon[Forpliktelser]),"")</f>
        <v/>
      </c>
      <c r="E178" s="19">
        <f>SUMIFS(BasilRadata[Heltidsplasser
0-2],BasilRadata[År],'0. Oppsett'!$C$8,BasilRadata[1B. Organisasjonsnummer:],$C178)</f>
        <v>0</v>
      </c>
      <c r="F178" s="25">
        <f>'4. Selvkost og satser'!$B$54</f>
        <v>288170.9461329499</v>
      </c>
      <c r="G178" s="19">
        <f>SUMIFS(BasilRadata[Heltidsplasser
3-6],BasilRadata[År],'0. Oppsett'!$C$8,BasilRadata[1B. Organisasjonsnummer:],$C178)</f>
        <v>0</v>
      </c>
      <c r="H178" s="25">
        <f>'4. Selvkost og satser'!$B$55</f>
        <v>156604.23359926464</v>
      </c>
      <c r="I178" s="26">
        <f t="shared" si="9"/>
        <v>0</v>
      </c>
      <c r="J178" s="20">
        <f>SUMIFS(BasilRadata[8E. Oppgi antall årsverk barnehagen har pensjonsforpliktelser for:],'1. BASIL-rådata'!$I$3:$I$500,'X. Satser pensjonstilskudd'!$C178,BasilRadata[År],'0. Oppsett'!$C$8)</f>
        <v>0</v>
      </c>
      <c r="K178" s="30">
        <f>IFERROR(IF(OR(#REF!="",#REF!=""),0,J178*#REF!*#REF!*(1+'0. Oppsett'!$C$11)),0)</f>
        <v>0</v>
      </c>
      <c r="L178" s="95">
        <f t="shared" si="10"/>
        <v>0</v>
      </c>
      <c r="M178" s="31">
        <f t="shared" si="11"/>
        <v>0</v>
      </c>
      <c r="N178" s="32">
        <f>IFERROR(M178*'0. Oppsett'!$C$30,0)</f>
        <v>0</v>
      </c>
      <c r="O178" s="33">
        <v>0</v>
      </c>
      <c r="P178" s="142"/>
      <c r="Q178" s="142"/>
      <c r="R178" s="142"/>
      <c r="S178" s="142">
        <v>0</v>
      </c>
      <c r="T178" s="33">
        <v>0</v>
      </c>
      <c r="U178" s="34">
        <v>0</v>
      </c>
      <c r="V178" s="35">
        <f t="shared" si="12"/>
        <v>0</v>
      </c>
    </row>
    <row r="179" spans="1:22" ht="15.75" thickBot="1" x14ac:dyDescent="0.3">
      <c r="A179" s="17">
        <v>175</v>
      </c>
      <c r="B179" s="150">
        <f>'X. Satser pensjonstilskudd'!B179</f>
        <v>0</v>
      </c>
      <c r="C179" s="18">
        <f>'X. Satser pensjonstilskudd'!C179</f>
        <v>0</v>
      </c>
      <c r="D179" s="18" t="str">
        <f>IFERROR(_xlfn.XLOOKUP($C179,factPensjon[Virksomhetsnr.],factPensjon[Forpliktelser]),"")</f>
        <v/>
      </c>
      <c r="E179" s="19">
        <f>SUMIFS(BasilRadata[Heltidsplasser
0-2],BasilRadata[År],'0. Oppsett'!$C$8,BasilRadata[1B. Organisasjonsnummer:],$C179)</f>
        <v>0</v>
      </c>
      <c r="F179" s="25">
        <f>'4. Selvkost og satser'!$B$54</f>
        <v>288170.9461329499</v>
      </c>
      <c r="G179" s="19">
        <f>SUMIFS(BasilRadata[Heltidsplasser
3-6],BasilRadata[År],'0. Oppsett'!$C$8,BasilRadata[1B. Organisasjonsnummer:],$C179)</f>
        <v>0</v>
      </c>
      <c r="H179" s="25">
        <f>'4. Selvkost og satser'!$B$55</f>
        <v>156604.23359926464</v>
      </c>
      <c r="I179" s="26">
        <f t="shared" si="9"/>
        <v>0</v>
      </c>
      <c r="J179" s="20">
        <f>SUMIFS(BasilRadata[8E. Oppgi antall årsverk barnehagen har pensjonsforpliktelser for:],'1. BASIL-rådata'!$I$3:$I$500,'X. Satser pensjonstilskudd'!$C179,BasilRadata[År],'0. Oppsett'!$C$8)</f>
        <v>0</v>
      </c>
      <c r="K179" s="30">
        <f>IFERROR(IF(OR(#REF!="",#REF!=""),0,J179*#REF!*#REF!*(1+'0. Oppsett'!$C$11)),0)</f>
        <v>0</v>
      </c>
      <c r="L179" s="95">
        <f t="shared" si="10"/>
        <v>0</v>
      </c>
      <c r="M179" s="31">
        <f t="shared" si="11"/>
        <v>0</v>
      </c>
      <c r="N179" s="32">
        <f>IFERROR(M179*'0. Oppsett'!$C$30,0)</f>
        <v>0</v>
      </c>
      <c r="O179" s="33">
        <v>0</v>
      </c>
      <c r="P179" s="142"/>
      <c r="Q179" s="142"/>
      <c r="R179" s="142"/>
      <c r="S179" s="142">
        <v>0</v>
      </c>
      <c r="T179" s="33">
        <v>0</v>
      </c>
      <c r="U179" s="34">
        <v>0</v>
      </c>
      <c r="V179" s="35">
        <f t="shared" si="12"/>
        <v>0</v>
      </c>
    </row>
    <row r="180" spans="1:22" ht="15.75" thickBot="1" x14ac:dyDescent="0.3">
      <c r="A180" s="21">
        <v>176</v>
      </c>
      <c r="B180" s="150">
        <f>'X. Satser pensjonstilskudd'!B180</f>
        <v>0</v>
      </c>
      <c r="C180" s="18">
        <f>'X. Satser pensjonstilskudd'!C180</f>
        <v>0</v>
      </c>
      <c r="D180" s="18" t="str">
        <f>IFERROR(_xlfn.XLOOKUP($C180,factPensjon[Virksomhetsnr.],factPensjon[Forpliktelser]),"")</f>
        <v/>
      </c>
      <c r="E180" s="19">
        <f>SUMIFS(BasilRadata[Heltidsplasser
0-2],BasilRadata[År],'0. Oppsett'!$C$8,BasilRadata[1B. Organisasjonsnummer:],$C180)</f>
        <v>0</v>
      </c>
      <c r="F180" s="25">
        <f>'4. Selvkost og satser'!$B$54</f>
        <v>288170.9461329499</v>
      </c>
      <c r="G180" s="19">
        <f>SUMIFS(BasilRadata[Heltidsplasser
3-6],BasilRadata[År],'0. Oppsett'!$C$8,BasilRadata[1B. Organisasjonsnummer:],$C180)</f>
        <v>0</v>
      </c>
      <c r="H180" s="25">
        <f>'4. Selvkost og satser'!$B$55</f>
        <v>156604.23359926464</v>
      </c>
      <c r="I180" s="26">
        <f t="shared" si="9"/>
        <v>0</v>
      </c>
      <c r="J180" s="20">
        <f>SUMIFS(BasilRadata[8E. Oppgi antall årsverk barnehagen har pensjonsforpliktelser for:],'1. BASIL-rådata'!$I$3:$I$500,'X. Satser pensjonstilskudd'!$C180,BasilRadata[År],'0. Oppsett'!$C$8)</f>
        <v>0</v>
      </c>
      <c r="K180" s="30">
        <f>IFERROR(IF(OR(#REF!="",#REF!=""),0,J180*#REF!*#REF!*(1+'0. Oppsett'!$C$11)),0)</f>
        <v>0</v>
      </c>
      <c r="L180" s="95">
        <f t="shared" si="10"/>
        <v>0</v>
      </c>
      <c r="M180" s="31">
        <f t="shared" si="11"/>
        <v>0</v>
      </c>
      <c r="N180" s="32">
        <f>IFERROR(M180*'0. Oppsett'!$C$30,0)</f>
        <v>0</v>
      </c>
      <c r="O180" s="33">
        <v>0</v>
      </c>
      <c r="P180" s="142"/>
      <c r="Q180" s="142"/>
      <c r="R180" s="142"/>
      <c r="S180" s="142">
        <v>0</v>
      </c>
      <c r="T180" s="33">
        <v>0</v>
      </c>
      <c r="U180" s="34">
        <v>0</v>
      </c>
      <c r="V180" s="35">
        <f t="shared" si="12"/>
        <v>0</v>
      </c>
    </row>
    <row r="181" spans="1:22" ht="15.75" thickBot="1" x14ac:dyDescent="0.3">
      <c r="A181" s="17">
        <v>177</v>
      </c>
      <c r="B181" s="150">
        <f>'X. Satser pensjonstilskudd'!B181</f>
        <v>0</v>
      </c>
      <c r="C181" s="18">
        <f>'X. Satser pensjonstilskudd'!C181</f>
        <v>0</v>
      </c>
      <c r="D181" s="18" t="str">
        <f>IFERROR(_xlfn.XLOOKUP($C181,factPensjon[Virksomhetsnr.],factPensjon[Forpliktelser]),"")</f>
        <v/>
      </c>
      <c r="E181" s="19">
        <f>SUMIFS(BasilRadata[Heltidsplasser
0-2],BasilRadata[År],'0. Oppsett'!$C$8,BasilRadata[1B. Organisasjonsnummer:],$C181)</f>
        <v>0</v>
      </c>
      <c r="F181" s="25">
        <f>'4. Selvkost og satser'!$B$54</f>
        <v>288170.9461329499</v>
      </c>
      <c r="G181" s="19">
        <f>SUMIFS(BasilRadata[Heltidsplasser
3-6],BasilRadata[År],'0. Oppsett'!$C$8,BasilRadata[1B. Organisasjonsnummer:],$C181)</f>
        <v>0</v>
      </c>
      <c r="H181" s="25">
        <f>'4. Selvkost og satser'!$B$55</f>
        <v>156604.23359926464</v>
      </c>
      <c r="I181" s="26">
        <f t="shared" si="9"/>
        <v>0</v>
      </c>
      <c r="J181" s="20">
        <f>SUMIFS(BasilRadata[8E. Oppgi antall årsverk barnehagen har pensjonsforpliktelser for:],'1. BASIL-rådata'!$I$3:$I$500,'X. Satser pensjonstilskudd'!$C181,BasilRadata[År],'0. Oppsett'!$C$8)</f>
        <v>0</v>
      </c>
      <c r="K181" s="30">
        <f>IFERROR(IF(OR(#REF!="",#REF!=""),0,J181*#REF!*#REF!*(1+'0. Oppsett'!$C$11)),0)</f>
        <v>0</v>
      </c>
      <c r="L181" s="95">
        <f t="shared" si="10"/>
        <v>0</v>
      </c>
      <c r="M181" s="31">
        <f t="shared" si="11"/>
        <v>0</v>
      </c>
      <c r="N181" s="32">
        <f>IFERROR(M181*'0. Oppsett'!$C$30,0)</f>
        <v>0</v>
      </c>
      <c r="O181" s="33">
        <v>0</v>
      </c>
      <c r="P181" s="142"/>
      <c r="Q181" s="142"/>
      <c r="R181" s="142"/>
      <c r="S181" s="142">
        <v>0</v>
      </c>
      <c r="T181" s="33">
        <v>0</v>
      </c>
      <c r="U181" s="34">
        <v>0</v>
      </c>
      <c r="V181" s="35">
        <f t="shared" si="12"/>
        <v>0</v>
      </c>
    </row>
    <row r="182" spans="1:22" ht="15.75" thickBot="1" x14ac:dyDescent="0.3">
      <c r="A182" s="21">
        <v>178</v>
      </c>
      <c r="B182" s="150">
        <f>'X. Satser pensjonstilskudd'!B182</f>
        <v>0</v>
      </c>
      <c r="C182" s="18">
        <f>'X. Satser pensjonstilskudd'!C182</f>
        <v>0</v>
      </c>
      <c r="D182" s="18" t="str">
        <f>IFERROR(_xlfn.XLOOKUP($C182,factPensjon[Virksomhetsnr.],factPensjon[Forpliktelser]),"")</f>
        <v/>
      </c>
      <c r="E182" s="19">
        <f>SUMIFS(BasilRadata[Heltidsplasser
0-2],BasilRadata[År],'0. Oppsett'!$C$8,BasilRadata[1B. Organisasjonsnummer:],$C182)</f>
        <v>0</v>
      </c>
      <c r="F182" s="25">
        <f>'4. Selvkost og satser'!$B$54</f>
        <v>288170.9461329499</v>
      </c>
      <c r="G182" s="19">
        <f>SUMIFS(BasilRadata[Heltidsplasser
3-6],BasilRadata[År],'0. Oppsett'!$C$8,BasilRadata[1B. Organisasjonsnummer:],$C182)</f>
        <v>0</v>
      </c>
      <c r="H182" s="25">
        <f>'4. Selvkost og satser'!$B$55</f>
        <v>156604.23359926464</v>
      </c>
      <c r="I182" s="26">
        <f t="shared" si="9"/>
        <v>0</v>
      </c>
      <c r="J182" s="20">
        <f>SUMIFS(BasilRadata[8E. Oppgi antall årsverk barnehagen har pensjonsforpliktelser for:],'1. BASIL-rådata'!$I$3:$I$500,'X. Satser pensjonstilskudd'!$C182,BasilRadata[År],'0. Oppsett'!$C$8)</f>
        <v>0</v>
      </c>
      <c r="K182" s="30">
        <f>IFERROR(IF(OR(#REF!="",#REF!=""),0,J182*#REF!*#REF!*(1+'0. Oppsett'!$C$11)),0)</f>
        <v>0</v>
      </c>
      <c r="L182" s="95">
        <f t="shared" si="10"/>
        <v>0</v>
      </c>
      <c r="M182" s="31">
        <f t="shared" si="11"/>
        <v>0</v>
      </c>
      <c r="N182" s="32">
        <f>IFERROR(M182*'0. Oppsett'!$C$30,0)</f>
        <v>0</v>
      </c>
      <c r="O182" s="33">
        <v>0</v>
      </c>
      <c r="P182" s="142"/>
      <c r="Q182" s="142"/>
      <c r="R182" s="142"/>
      <c r="S182" s="142">
        <v>0</v>
      </c>
      <c r="T182" s="33">
        <v>0</v>
      </c>
      <c r="U182" s="34">
        <v>0</v>
      </c>
      <c r="V182" s="35">
        <f t="shared" si="12"/>
        <v>0</v>
      </c>
    </row>
    <row r="183" spans="1:22" ht="15.75" thickBot="1" x14ac:dyDescent="0.3">
      <c r="A183" s="17">
        <v>179</v>
      </c>
      <c r="B183" s="150">
        <f>'X. Satser pensjonstilskudd'!B183</f>
        <v>0</v>
      </c>
      <c r="C183" s="18">
        <f>'X. Satser pensjonstilskudd'!C183</f>
        <v>0</v>
      </c>
      <c r="D183" s="18" t="str">
        <f>IFERROR(_xlfn.XLOOKUP($C183,factPensjon[Virksomhetsnr.],factPensjon[Forpliktelser]),"")</f>
        <v/>
      </c>
      <c r="E183" s="19">
        <f>SUMIFS(BasilRadata[Heltidsplasser
0-2],BasilRadata[År],'0. Oppsett'!$C$8,BasilRadata[1B. Organisasjonsnummer:],$C183)</f>
        <v>0</v>
      </c>
      <c r="F183" s="25">
        <f>'4. Selvkost og satser'!$B$54</f>
        <v>288170.9461329499</v>
      </c>
      <c r="G183" s="19">
        <f>SUMIFS(BasilRadata[Heltidsplasser
3-6],BasilRadata[År],'0. Oppsett'!$C$8,BasilRadata[1B. Organisasjonsnummer:],$C183)</f>
        <v>0</v>
      </c>
      <c r="H183" s="25">
        <f>'4. Selvkost og satser'!$B$55</f>
        <v>156604.23359926464</v>
      </c>
      <c r="I183" s="26">
        <f t="shared" si="9"/>
        <v>0</v>
      </c>
      <c r="J183" s="20">
        <f>SUMIFS(BasilRadata[8E. Oppgi antall årsverk barnehagen har pensjonsforpliktelser for:],'1. BASIL-rådata'!$I$3:$I$500,'X. Satser pensjonstilskudd'!$C183,BasilRadata[År],'0. Oppsett'!$C$8)</f>
        <v>0</v>
      </c>
      <c r="K183" s="30">
        <f>IFERROR(IF(OR(#REF!="",#REF!=""),0,J183*#REF!*#REF!*(1+'0. Oppsett'!$C$11)),0)</f>
        <v>0</v>
      </c>
      <c r="L183" s="95">
        <f t="shared" si="10"/>
        <v>0</v>
      </c>
      <c r="M183" s="31">
        <f t="shared" si="11"/>
        <v>0</v>
      </c>
      <c r="N183" s="32">
        <f>IFERROR(M183*'0. Oppsett'!$C$30,0)</f>
        <v>0</v>
      </c>
      <c r="O183" s="33">
        <v>0</v>
      </c>
      <c r="P183" s="142"/>
      <c r="Q183" s="142"/>
      <c r="R183" s="142"/>
      <c r="S183" s="142">
        <v>0</v>
      </c>
      <c r="T183" s="33">
        <v>0</v>
      </c>
      <c r="U183" s="34">
        <v>0</v>
      </c>
      <c r="V183" s="35">
        <f t="shared" si="12"/>
        <v>0</v>
      </c>
    </row>
    <row r="184" spans="1:22" ht="15.75" thickBot="1" x14ac:dyDescent="0.3">
      <c r="A184" s="21">
        <v>180</v>
      </c>
      <c r="B184" s="150">
        <f>'X. Satser pensjonstilskudd'!B184</f>
        <v>0</v>
      </c>
      <c r="C184" s="18">
        <f>'X. Satser pensjonstilskudd'!C184</f>
        <v>0</v>
      </c>
      <c r="D184" s="18" t="str">
        <f>IFERROR(_xlfn.XLOOKUP($C184,factPensjon[Virksomhetsnr.],factPensjon[Forpliktelser]),"")</f>
        <v/>
      </c>
      <c r="E184" s="19">
        <f>SUMIFS(BasilRadata[Heltidsplasser
0-2],BasilRadata[År],'0. Oppsett'!$C$8,BasilRadata[1B. Organisasjonsnummer:],$C184)</f>
        <v>0</v>
      </c>
      <c r="F184" s="25">
        <f>'4. Selvkost og satser'!$B$54</f>
        <v>288170.9461329499</v>
      </c>
      <c r="G184" s="19">
        <f>SUMIFS(BasilRadata[Heltidsplasser
3-6],BasilRadata[År],'0. Oppsett'!$C$8,BasilRadata[1B. Organisasjonsnummer:],$C184)</f>
        <v>0</v>
      </c>
      <c r="H184" s="25">
        <f>'4. Selvkost og satser'!$B$55</f>
        <v>156604.23359926464</v>
      </c>
      <c r="I184" s="26">
        <f t="shared" si="9"/>
        <v>0</v>
      </c>
      <c r="J184" s="20">
        <f>SUMIFS(BasilRadata[8E. Oppgi antall årsverk barnehagen har pensjonsforpliktelser for:],'1. BASIL-rådata'!$I$3:$I$500,'X. Satser pensjonstilskudd'!$C184,BasilRadata[År],'0. Oppsett'!$C$8)</f>
        <v>0</v>
      </c>
      <c r="K184" s="30">
        <f>IFERROR(IF(OR(#REF!="",#REF!=""),0,J184*#REF!*#REF!*(1+'0. Oppsett'!$C$11)),0)</f>
        <v>0</v>
      </c>
      <c r="L184" s="95">
        <f t="shared" si="10"/>
        <v>0</v>
      </c>
      <c r="M184" s="31">
        <f t="shared" si="11"/>
        <v>0</v>
      </c>
      <c r="N184" s="32">
        <f>IFERROR(M184*'0. Oppsett'!$C$30,0)</f>
        <v>0</v>
      </c>
      <c r="O184" s="33">
        <v>0</v>
      </c>
      <c r="P184" s="142"/>
      <c r="Q184" s="142"/>
      <c r="R184" s="142"/>
      <c r="S184" s="142">
        <v>0</v>
      </c>
      <c r="T184" s="33">
        <v>0</v>
      </c>
      <c r="U184" s="34">
        <v>0</v>
      </c>
      <c r="V184" s="35">
        <f t="shared" si="12"/>
        <v>0</v>
      </c>
    </row>
    <row r="185" spans="1:22" ht="15.75" thickBot="1" x14ac:dyDescent="0.3">
      <c r="A185" s="17">
        <v>181</v>
      </c>
      <c r="B185" s="150">
        <f>'X. Satser pensjonstilskudd'!B185</f>
        <v>0</v>
      </c>
      <c r="C185" s="18">
        <f>'X. Satser pensjonstilskudd'!C185</f>
        <v>0</v>
      </c>
      <c r="D185" s="18" t="str">
        <f>IFERROR(_xlfn.XLOOKUP($C185,factPensjon[Virksomhetsnr.],factPensjon[Forpliktelser]),"")</f>
        <v/>
      </c>
      <c r="E185" s="19">
        <f>SUMIFS(BasilRadata[Heltidsplasser
0-2],BasilRadata[År],'0. Oppsett'!$C$8,BasilRadata[1B. Organisasjonsnummer:],$C185)</f>
        <v>0</v>
      </c>
      <c r="F185" s="25">
        <f>'4. Selvkost og satser'!$B$54</f>
        <v>288170.9461329499</v>
      </c>
      <c r="G185" s="19">
        <f>SUMIFS(BasilRadata[Heltidsplasser
3-6],BasilRadata[År],'0. Oppsett'!$C$8,BasilRadata[1B. Organisasjonsnummer:],$C185)</f>
        <v>0</v>
      </c>
      <c r="H185" s="25">
        <f>'4. Selvkost og satser'!$B$55</f>
        <v>156604.23359926464</v>
      </c>
      <c r="I185" s="26">
        <f t="shared" si="9"/>
        <v>0</v>
      </c>
      <c r="J185" s="20">
        <f>SUMIFS(BasilRadata[8E. Oppgi antall årsverk barnehagen har pensjonsforpliktelser for:],'1. BASIL-rådata'!$I$3:$I$500,'X. Satser pensjonstilskudd'!$C185,BasilRadata[År],'0. Oppsett'!$C$8)</f>
        <v>0</v>
      </c>
      <c r="K185" s="30">
        <f>IFERROR(IF(OR(#REF!="",#REF!=""),0,J185*#REF!*#REF!*(1+'0. Oppsett'!$C$11)),0)</f>
        <v>0</v>
      </c>
      <c r="L185" s="95">
        <f t="shared" si="10"/>
        <v>0</v>
      </c>
      <c r="M185" s="31">
        <f t="shared" si="11"/>
        <v>0</v>
      </c>
      <c r="N185" s="32">
        <f>IFERROR(M185*'0. Oppsett'!$C$30,0)</f>
        <v>0</v>
      </c>
      <c r="O185" s="33">
        <v>0</v>
      </c>
      <c r="P185" s="142"/>
      <c r="Q185" s="142"/>
      <c r="R185" s="142"/>
      <c r="S185" s="142">
        <v>0</v>
      </c>
      <c r="T185" s="33">
        <v>0</v>
      </c>
      <c r="U185" s="34">
        <v>0</v>
      </c>
      <c r="V185" s="35">
        <f t="shared" si="12"/>
        <v>0</v>
      </c>
    </row>
    <row r="186" spans="1:22" ht="15.75" thickBot="1" x14ac:dyDescent="0.3">
      <c r="A186" s="21">
        <v>182</v>
      </c>
      <c r="B186" s="150">
        <f>'X. Satser pensjonstilskudd'!B186</f>
        <v>0</v>
      </c>
      <c r="C186" s="18">
        <f>'X. Satser pensjonstilskudd'!C186</f>
        <v>0</v>
      </c>
      <c r="D186" s="18" t="str">
        <f>IFERROR(_xlfn.XLOOKUP($C186,factPensjon[Virksomhetsnr.],factPensjon[Forpliktelser]),"")</f>
        <v/>
      </c>
      <c r="E186" s="19">
        <f>SUMIFS(BasilRadata[Heltidsplasser
0-2],BasilRadata[År],'0. Oppsett'!$C$8,BasilRadata[1B. Organisasjonsnummer:],$C186)</f>
        <v>0</v>
      </c>
      <c r="F186" s="25">
        <f>'4. Selvkost og satser'!$B$54</f>
        <v>288170.9461329499</v>
      </c>
      <c r="G186" s="19">
        <f>SUMIFS(BasilRadata[Heltidsplasser
3-6],BasilRadata[År],'0. Oppsett'!$C$8,BasilRadata[1B. Organisasjonsnummer:],$C186)</f>
        <v>0</v>
      </c>
      <c r="H186" s="25">
        <f>'4. Selvkost og satser'!$B$55</f>
        <v>156604.23359926464</v>
      </c>
      <c r="I186" s="26">
        <f t="shared" si="9"/>
        <v>0</v>
      </c>
      <c r="J186" s="20">
        <f>SUMIFS(BasilRadata[8E. Oppgi antall årsverk barnehagen har pensjonsforpliktelser for:],'1. BASIL-rådata'!$I$3:$I$500,'X. Satser pensjonstilskudd'!$C186,BasilRadata[År],'0. Oppsett'!$C$8)</f>
        <v>0</v>
      </c>
      <c r="K186" s="30">
        <f>IFERROR(IF(OR(#REF!="",#REF!=""),0,J186*#REF!*#REF!*(1+'0. Oppsett'!$C$11)),0)</f>
        <v>0</v>
      </c>
      <c r="L186" s="95">
        <f t="shared" si="10"/>
        <v>0</v>
      </c>
      <c r="M186" s="31">
        <f t="shared" si="11"/>
        <v>0</v>
      </c>
      <c r="N186" s="32">
        <f>IFERROR(M186*'0. Oppsett'!$C$30,0)</f>
        <v>0</v>
      </c>
      <c r="O186" s="33">
        <v>0</v>
      </c>
      <c r="P186" s="142"/>
      <c r="Q186" s="142"/>
      <c r="R186" s="142"/>
      <c r="S186" s="142">
        <v>0</v>
      </c>
      <c r="T186" s="33">
        <v>0</v>
      </c>
      <c r="U186" s="34">
        <v>0</v>
      </c>
      <c r="V186" s="35">
        <f t="shared" si="12"/>
        <v>0</v>
      </c>
    </row>
    <row r="187" spans="1:22" ht="15.75" thickBot="1" x14ac:dyDescent="0.3">
      <c r="A187" s="17">
        <v>183</v>
      </c>
      <c r="B187" s="150">
        <f>'X. Satser pensjonstilskudd'!B187</f>
        <v>0</v>
      </c>
      <c r="C187" s="18">
        <f>'X. Satser pensjonstilskudd'!C187</f>
        <v>0</v>
      </c>
      <c r="D187" s="18" t="str">
        <f>IFERROR(_xlfn.XLOOKUP($C187,factPensjon[Virksomhetsnr.],factPensjon[Forpliktelser]),"")</f>
        <v/>
      </c>
      <c r="E187" s="19">
        <f>SUMIFS(BasilRadata[Heltidsplasser
0-2],BasilRadata[År],'0. Oppsett'!$C$8,BasilRadata[1B. Organisasjonsnummer:],$C187)</f>
        <v>0</v>
      </c>
      <c r="F187" s="25">
        <f>'4. Selvkost og satser'!$B$54</f>
        <v>288170.9461329499</v>
      </c>
      <c r="G187" s="19">
        <f>SUMIFS(BasilRadata[Heltidsplasser
3-6],BasilRadata[År],'0. Oppsett'!$C$8,BasilRadata[1B. Organisasjonsnummer:],$C187)</f>
        <v>0</v>
      </c>
      <c r="H187" s="25">
        <f>'4. Selvkost og satser'!$B$55</f>
        <v>156604.23359926464</v>
      </c>
      <c r="I187" s="26">
        <f t="shared" si="9"/>
        <v>0</v>
      </c>
      <c r="J187" s="20">
        <f>SUMIFS(BasilRadata[8E. Oppgi antall årsverk barnehagen har pensjonsforpliktelser for:],'1. BASIL-rådata'!$I$3:$I$500,'X. Satser pensjonstilskudd'!$C187,BasilRadata[År],'0. Oppsett'!$C$8)</f>
        <v>0</v>
      </c>
      <c r="K187" s="30">
        <f>IFERROR(IF(OR(#REF!="",#REF!=""),0,J187*#REF!*#REF!*(1+'0. Oppsett'!$C$11)),0)</f>
        <v>0</v>
      </c>
      <c r="L187" s="95">
        <f t="shared" si="10"/>
        <v>0</v>
      </c>
      <c r="M187" s="31">
        <f t="shared" si="11"/>
        <v>0</v>
      </c>
      <c r="N187" s="32">
        <f>IFERROR(M187*'0. Oppsett'!$C$30,0)</f>
        <v>0</v>
      </c>
      <c r="O187" s="33">
        <v>0</v>
      </c>
      <c r="P187" s="142"/>
      <c r="Q187" s="142"/>
      <c r="R187" s="142"/>
      <c r="S187" s="142">
        <v>0</v>
      </c>
      <c r="T187" s="33">
        <v>0</v>
      </c>
      <c r="U187" s="34">
        <v>0</v>
      </c>
      <c r="V187" s="35">
        <f t="shared" si="12"/>
        <v>0</v>
      </c>
    </row>
    <row r="188" spans="1:22" ht="15.75" thickBot="1" x14ac:dyDescent="0.3">
      <c r="A188" s="21">
        <v>184</v>
      </c>
      <c r="B188" s="150">
        <f>'X. Satser pensjonstilskudd'!B188</f>
        <v>0</v>
      </c>
      <c r="C188" s="18">
        <f>'X. Satser pensjonstilskudd'!C188</f>
        <v>0</v>
      </c>
      <c r="D188" s="18" t="str">
        <f>IFERROR(_xlfn.XLOOKUP($C188,factPensjon[Virksomhetsnr.],factPensjon[Forpliktelser]),"")</f>
        <v/>
      </c>
      <c r="E188" s="19">
        <f>SUMIFS(BasilRadata[Heltidsplasser
0-2],BasilRadata[År],'0. Oppsett'!$C$8,BasilRadata[1B. Organisasjonsnummer:],$C188)</f>
        <v>0</v>
      </c>
      <c r="F188" s="25">
        <f>'4. Selvkost og satser'!$B$54</f>
        <v>288170.9461329499</v>
      </c>
      <c r="G188" s="19">
        <f>SUMIFS(BasilRadata[Heltidsplasser
3-6],BasilRadata[År],'0. Oppsett'!$C$8,BasilRadata[1B. Organisasjonsnummer:],$C188)</f>
        <v>0</v>
      </c>
      <c r="H188" s="25">
        <f>'4. Selvkost og satser'!$B$55</f>
        <v>156604.23359926464</v>
      </c>
      <c r="I188" s="26">
        <f t="shared" si="9"/>
        <v>0</v>
      </c>
      <c r="J188" s="20">
        <f>SUMIFS(BasilRadata[8E. Oppgi antall årsverk barnehagen har pensjonsforpliktelser for:],'1. BASIL-rådata'!$I$3:$I$500,'X. Satser pensjonstilskudd'!$C188,BasilRadata[År],'0. Oppsett'!$C$8)</f>
        <v>0</v>
      </c>
      <c r="K188" s="30">
        <f>IFERROR(IF(OR(#REF!="",#REF!=""),0,J188*#REF!*#REF!*(1+'0. Oppsett'!$C$11)),0)</f>
        <v>0</v>
      </c>
      <c r="L188" s="95">
        <f t="shared" si="10"/>
        <v>0</v>
      </c>
      <c r="M188" s="31">
        <f t="shared" si="11"/>
        <v>0</v>
      </c>
      <c r="N188" s="32">
        <f>IFERROR(M188*'0. Oppsett'!$C$30,0)</f>
        <v>0</v>
      </c>
      <c r="O188" s="33">
        <v>0</v>
      </c>
      <c r="P188" s="142"/>
      <c r="Q188" s="142"/>
      <c r="R188" s="142"/>
      <c r="S188" s="142">
        <v>0</v>
      </c>
      <c r="T188" s="33">
        <v>0</v>
      </c>
      <c r="U188" s="34">
        <v>0</v>
      </c>
      <c r="V188" s="35">
        <f t="shared" si="12"/>
        <v>0</v>
      </c>
    </row>
    <row r="189" spans="1:22" ht="15.75" thickBot="1" x14ac:dyDescent="0.3">
      <c r="A189" s="17">
        <v>185</v>
      </c>
      <c r="B189" s="150">
        <f>'X. Satser pensjonstilskudd'!B189</f>
        <v>0</v>
      </c>
      <c r="C189" s="18">
        <f>'X. Satser pensjonstilskudd'!C189</f>
        <v>0</v>
      </c>
      <c r="D189" s="18" t="str">
        <f>IFERROR(_xlfn.XLOOKUP($C189,factPensjon[Virksomhetsnr.],factPensjon[Forpliktelser]),"")</f>
        <v/>
      </c>
      <c r="E189" s="19">
        <f>SUMIFS(BasilRadata[Heltidsplasser
0-2],BasilRadata[År],'0. Oppsett'!$C$8,BasilRadata[1B. Organisasjonsnummer:],$C189)</f>
        <v>0</v>
      </c>
      <c r="F189" s="25">
        <f>'4. Selvkost og satser'!$B$54</f>
        <v>288170.9461329499</v>
      </c>
      <c r="G189" s="19">
        <f>SUMIFS(BasilRadata[Heltidsplasser
3-6],BasilRadata[År],'0. Oppsett'!$C$8,BasilRadata[1B. Organisasjonsnummer:],$C189)</f>
        <v>0</v>
      </c>
      <c r="H189" s="25">
        <f>'4. Selvkost og satser'!$B$55</f>
        <v>156604.23359926464</v>
      </c>
      <c r="I189" s="26">
        <f t="shared" si="9"/>
        <v>0</v>
      </c>
      <c r="J189" s="20">
        <f>SUMIFS(BasilRadata[8E. Oppgi antall årsverk barnehagen har pensjonsforpliktelser for:],'1. BASIL-rådata'!$I$3:$I$500,'X. Satser pensjonstilskudd'!$C189,BasilRadata[År],'0. Oppsett'!$C$8)</f>
        <v>0</v>
      </c>
      <c r="K189" s="30">
        <f>IFERROR(IF(OR(#REF!="",#REF!=""),0,J189*#REF!*#REF!*(1+'0. Oppsett'!$C$11)),0)</f>
        <v>0</v>
      </c>
      <c r="L189" s="95">
        <f t="shared" si="10"/>
        <v>0</v>
      </c>
      <c r="M189" s="31">
        <f t="shared" si="11"/>
        <v>0</v>
      </c>
      <c r="N189" s="32">
        <f>IFERROR(M189*'0. Oppsett'!$C$30,0)</f>
        <v>0</v>
      </c>
      <c r="O189" s="33">
        <v>0</v>
      </c>
      <c r="P189" s="142"/>
      <c r="Q189" s="142"/>
      <c r="R189" s="142"/>
      <c r="S189" s="142">
        <v>0</v>
      </c>
      <c r="T189" s="33">
        <v>0</v>
      </c>
      <c r="U189" s="34">
        <v>0</v>
      </c>
      <c r="V189" s="35">
        <f t="shared" si="12"/>
        <v>0</v>
      </c>
    </row>
    <row r="190" spans="1:22" ht="15.75" thickBot="1" x14ac:dyDescent="0.3">
      <c r="A190" s="21">
        <v>186</v>
      </c>
      <c r="B190" s="150">
        <f>'X. Satser pensjonstilskudd'!B190</f>
        <v>0</v>
      </c>
      <c r="C190" s="18">
        <f>'X. Satser pensjonstilskudd'!C190</f>
        <v>0</v>
      </c>
      <c r="D190" s="18" t="str">
        <f>IFERROR(_xlfn.XLOOKUP($C190,factPensjon[Virksomhetsnr.],factPensjon[Forpliktelser]),"")</f>
        <v/>
      </c>
      <c r="E190" s="19">
        <f>SUMIFS(BasilRadata[Heltidsplasser
0-2],BasilRadata[År],'0. Oppsett'!$C$8,BasilRadata[1B. Organisasjonsnummer:],$C190)</f>
        <v>0</v>
      </c>
      <c r="F190" s="25">
        <f>'4. Selvkost og satser'!$B$54</f>
        <v>288170.9461329499</v>
      </c>
      <c r="G190" s="19">
        <f>SUMIFS(BasilRadata[Heltidsplasser
3-6],BasilRadata[År],'0. Oppsett'!$C$8,BasilRadata[1B. Organisasjonsnummer:],$C190)</f>
        <v>0</v>
      </c>
      <c r="H190" s="25">
        <f>'4. Selvkost og satser'!$B$55</f>
        <v>156604.23359926464</v>
      </c>
      <c r="I190" s="26">
        <f t="shared" si="9"/>
        <v>0</v>
      </c>
      <c r="J190" s="20">
        <f>SUMIFS(BasilRadata[8E. Oppgi antall årsverk barnehagen har pensjonsforpliktelser for:],'1. BASIL-rådata'!$I$3:$I$500,'X. Satser pensjonstilskudd'!$C190,BasilRadata[År],'0. Oppsett'!$C$8)</f>
        <v>0</v>
      </c>
      <c r="K190" s="30">
        <f>IFERROR(IF(OR(#REF!="",#REF!=""),0,J190*#REF!*#REF!*(1+'0. Oppsett'!$C$11)),0)</f>
        <v>0</v>
      </c>
      <c r="L190" s="95">
        <f t="shared" si="10"/>
        <v>0</v>
      </c>
      <c r="M190" s="31">
        <f t="shared" si="11"/>
        <v>0</v>
      </c>
      <c r="N190" s="32">
        <f>IFERROR(M190*'0. Oppsett'!$C$30,0)</f>
        <v>0</v>
      </c>
      <c r="O190" s="33">
        <v>0</v>
      </c>
      <c r="P190" s="142"/>
      <c r="Q190" s="142"/>
      <c r="R190" s="142"/>
      <c r="S190" s="142">
        <v>0</v>
      </c>
      <c r="T190" s="33">
        <v>0</v>
      </c>
      <c r="U190" s="34">
        <v>0</v>
      </c>
      <c r="V190" s="35">
        <f t="shared" si="12"/>
        <v>0</v>
      </c>
    </row>
    <row r="191" spans="1:22" ht="15.75" thickBot="1" x14ac:dyDescent="0.3">
      <c r="A191" s="17">
        <v>187</v>
      </c>
      <c r="B191" s="150">
        <f>'X. Satser pensjonstilskudd'!B191</f>
        <v>0</v>
      </c>
      <c r="C191" s="18">
        <f>'X. Satser pensjonstilskudd'!C191</f>
        <v>0</v>
      </c>
      <c r="D191" s="18" t="str">
        <f>IFERROR(_xlfn.XLOOKUP($C191,factPensjon[Virksomhetsnr.],factPensjon[Forpliktelser]),"")</f>
        <v/>
      </c>
      <c r="E191" s="19">
        <f>SUMIFS(BasilRadata[Heltidsplasser
0-2],BasilRadata[År],'0. Oppsett'!$C$8,BasilRadata[1B. Organisasjonsnummer:],$C191)</f>
        <v>0</v>
      </c>
      <c r="F191" s="25">
        <f>'4. Selvkost og satser'!$B$54</f>
        <v>288170.9461329499</v>
      </c>
      <c r="G191" s="19">
        <f>SUMIFS(BasilRadata[Heltidsplasser
3-6],BasilRadata[År],'0. Oppsett'!$C$8,BasilRadata[1B. Organisasjonsnummer:],$C191)</f>
        <v>0</v>
      </c>
      <c r="H191" s="25">
        <f>'4. Selvkost og satser'!$B$55</f>
        <v>156604.23359926464</v>
      </c>
      <c r="I191" s="26">
        <f t="shared" si="9"/>
        <v>0</v>
      </c>
      <c r="J191" s="20">
        <f>SUMIFS(BasilRadata[8E. Oppgi antall årsverk barnehagen har pensjonsforpliktelser for:],'1. BASIL-rådata'!$I$3:$I$500,'X. Satser pensjonstilskudd'!$C191,BasilRadata[År],'0. Oppsett'!$C$8)</f>
        <v>0</v>
      </c>
      <c r="K191" s="30">
        <f>IFERROR(IF(OR(#REF!="",#REF!=""),0,J191*#REF!*#REF!*(1+'0. Oppsett'!$C$11)),0)</f>
        <v>0</v>
      </c>
      <c r="L191" s="95">
        <f t="shared" si="10"/>
        <v>0</v>
      </c>
      <c r="M191" s="31">
        <f t="shared" si="11"/>
        <v>0</v>
      </c>
      <c r="N191" s="32">
        <f>IFERROR(M191*'0. Oppsett'!$C$30,0)</f>
        <v>0</v>
      </c>
      <c r="O191" s="33">
        <v>0</v>
      </c>
      <c r="P191" s="142"/>
      <c r="Q191" s="142"/>
      <c r="R191" s="142"/>
      <c r="S191" s="142">
        <v>0</v>
      </c>
      <c r="T191" s="33">
        <v>0</v>
      </c>
      <c r="U191" s="34">
        <v>0</v>
      </c>
      <c r="V191" s="35">
        <f t="shared" si="12"/>
        <v>0</v>
      </c>
    </row>
    <row r="192" spans="1:22" ht="15.75" thickBot="1" x14ac:dyDescent="0.3">
      <c r="A192" s="21">
        <v>188</v>
      </c>
      <c r="B192" s="150">
        <f>'X. Satser pensjonstilskudd'!B192</f>
        <v>0</v>
      </c>
      <c r="C192" s="18">
        <f>'X. Satser pensjonstilskudd'!C192</f>
        <v>0</v>
      </c>
      <c r="D192" s="18" t="str">
        <f>IFERROR(_xlfn.XLOOKUP($C192,factPensjon[Virksomhetsnr.],factPensjon[Forpliktelser]),"")</f>
        <v/>
      </c>
      <c r="E192" s="19">
        <f>SUMIFS(BasilRadata[Heltidsplasser
0-2],BasilRadata[År],'0. Oppsett'!$C$8,BasilRadata[1B. Organisasjonsnummer:],$C192)</f>
        <v>0</v>
      </c>
      <c r="F192" s="25">
        <f>'4. Selvkost og satser'!$B$54</f>
        <v>288170.9461329499</v>
      </c>
      <c r="G192" s="19">
        <f>SUMIFS(BasilRadata[Heltidsplasser
3-6],BasilRadata[År],'0. Oppsett'!$C$8,BasilRadata[1B. Organisasjonsnummer:],$C192)</f>
        <v>0</v>
      </c>
      <c r="H192" s="25">
        <f>'4. Selvkost og satser'!$B$55</f>
        <v>156604.23359926464</v>
      </c>
      <c r="I192" s="26">
        <f t="shared" si="9"/>
        <v>0</v>
      </c>
      <c r="J192" s="20">
        <f>SUMIFS(BasilRadata[8E. Oppgi antall årsverk barnehagen har pensjonsforpliktelser for:],'1. BASIL-rådata'!$I$3:$I$500,'X. Satser pensjonstilskudd'!$C192,BasilRadata[År],'0. Oppsett'!$C$8)</f>
        <v>0</v>
      </c>
      <c r="K192" s="30">
        <f>IFERROR(IF(OR(#REF!="",#REF!=""),0,J192*#REF!*#REF!*(1+'0. Oppsett'!$C$11)),0)</f>
        <v>0</v>
      </c>
      <c r="L192" s="95">
        <f t="shared" si="10"/>
        <v>0</v>
      </c>
      <c r="M192" s="31">
        <f t="shared" si="11"/>
        <v>0</v>
      </c>
      <c r="N192" s="32">
        <f>IFERROR(M192*'0. Oppsett'!$C$30,0)</f>
        <v>0</v>
      </c>
      <c r="O192" s="33">
        <v>0</v>
      </c>
      <c r="P192" s="142"/>
      <c r="Q192" s="142"/>
      <c r="R192" s="142"/>
      <c r="S192" s="142">
        <v>0</v>
      </c>
      <c r="T192" s="33">
        <v>0</v>
      </c>
      <c r="U192" s="34">
        <v>0</v>
      </c>
      <c r="V192" s="35">
        <f t="shared" si="12"/>
        <v>0</v>
      </c>
    </row>
    <row r="193" spans="1:22" ht="15.75" thickBot="1" x14ac:dyDescent="0.3">
      <c r="A193" s="17">
        <v>189</v>
      </c>
      <c r="B193" s="150">
        <f>'X. Satser pensjonstilskudd'!B193</f>
        <v>0</v>
      </c>
      <c r="C193" s="18">
        <f>'X. Satser pensjonstilskudd'!C193</f>
        <v>0</v>
      </c>
      <c r="D193" s="18" t="str">
        <f>IFERROR(_xlfn.XLOOKUP($C193,factPensjon[Virksomhetsnr.],factPensjon[Forpliktelser]),"")</f>
        <v/>
      </c>
      <c r="E193" s="19">
        <f>SUMIFS(BasilRadata[Heltidsplasser
0-2],BasilRadata[År],'0. Oppsett'!$C$8,BasilRadata[1B. Organisasjonsnummer:],$C193)</f>
        <v>0</v>
      </c>
      <c r="F193" s="25">
        <f>'4. Selvkost og satser'!$B$54</f>
        <v>288170.9461329499</v>
      </c>
      <c r="G193" s="19">
        <f>SUMIFS(BasilRadata[Heltidsplasser
3-6],BasilRadata[År],'0. Oppsett'!$C$8,BasilRadata[1B. Organisasjonsnummer:],$C193)</f>
        <v>0</v>
      </c>
      <c r="H193" s="25">
        <f>'4. Selvkost og satser'!$B$55</f>
        <v>156604.23359926464</v>
      </c>
      <c r="I193" s="26">
        <f t="shared" si="9"/>
        <v>0</v>
      </c>
      <c r="J193" s="20">
        <f>SUMIFS(BasilRadata[8E. Oppgi antall årsverk barnehagen har pensjonsforpliktelser for:],'1. BASIL-rådata'!$I$3:$I$500,'X. Satser pensjonstilskudd'!$C193,BasilRadata[År],'0. Oppsett'!$C$8)</f>
        <v>0</v>
      </c>
      <c r="K193" s="30">
        <f>IFERROR(IF(OR(#REF!="",#REF!=""),0,J193*#REF!*#REF!*(1+'0. Oppsett'!$C$11)),0)</f>
        <v>0</v>
      </c>
      <c r="L193" s="95">
        <f t="shared" si="10"/>
        <v>0</v>
      </c>
      <c r="M193" s="31">
        <f t="shared" si="11"/>
        <v>0</v>
      </c>
      <c r="N193" s="32">
        <f>IFERROR(M193*'0. Oppsett'!$C$30,0)</f>
        <v>0</v>
      </c>
      <c r="O193" s="33">
        <v>0</v>
      </c>
      <c r="P193" s="142"/>
      <c r="Q193" s="142"/>
      <c r="R193" s="142"/>
      <c r="S193" s="142">
        <v>0</v>
      </c>
      <c r="T193" s="33">
        <v>0</v>
      </c>
      <c r="U193" s="34">
        <v>0</v>
      </c>
      <c r="V193" s="35">
        <f t="shared" si="12"/>
        <v>0</v>
      </c>
    </row>
    <row r="194" spans="1:22" ht="15.75" thickBot="1" x14ac:dyDescent="0.3">
      <c r="A194" s="21">
        <v>190</v>
      </c>
      <c r="B194" s="150">
        <f>'X. Satser pensjonstilskudd'!B194</f>
        <v>0</v>
      </c>
      <c r="C194" s="18">
        <f>'X. Satser pensjonstilskudd'!C194</f>
        <v>0</v>
      </c>
      <c r="D194" s="18" t="str">
        <f>IFERROR(_xlfn.XLOOKUP($C194,factPensjon[Virksomhetsnr.],factPensjon[Forpliktelser]),"")</f>
        <v/>
      </c>
      <c r="E194" s="19">
        <f>SUMIFS(BasilRadata[Heltidsplasser
0-2],BasilRadata[År],'0. Oppsett'!$C$8,BasilRadata[1B. Organisasjonsnummer:],$C194)</f>
        <v>0</v>
      </c>
      <c r="F194" s="25">
        <f>'4. Selvkost og satser'!$B$54</f>
        <v>288170.9461329499</v>
      </c>
      <c r="G194" s="19">
        <f>SUMIFS(BasilRadata[Heltidsplasser
3-6],BasilRadata[År],'0. Oppsett'!$C$8,BasilRadata[1B. Organisasjonsnummer:],$C194)</f>
        <v>0</v>
      </c>
      <c r="H194" s="25">
        <f>'4. Selvkost og satser'!$B$55</f>
        <v>156604.23359926464</v>
      </c>
      <c r="I194" s="26">
        <f t="shared" si="9"/>
        <v>0</v>
      </c>
      <c r="J194" s="20">
        <f>SUMIFS(BasilRadata[8E. Oppgi antall årsverk barnehagen har pensjonsforpliktelser for:],'1. BASIL-rådata'!$I$3:$I$500,'X. Satser pensjonstilskudd'!$C194,BasilRadata[År],'0. Oppsett'!$C$8)</f>
        <v>0</v>
      </c>
      <c r="K194" s="30">
        <f>IFERROR(IF(OR(#REF!="",#REF!=""),0,J194*#REF!*#REF!*(1+'0. Oppsett'!$C$11)),0)</f>
        <v>0</v>
      </c>
      <c r="L194" s="95">
        <f t="shared" si="10"/>
        <v>0</v>
      </c>
      <c r="M194" s="31">
        <f t="shared" si="11"/>
        <v>0</v>
      </c>
      <c r="N194" s="32">
        <f>IFERROR(M194*'0. Oppsett'!$C$30,0)</f>
        <v>0</v>
      </c>
      <c r="O194" s="33">
        <v>0</v>
      </c>
      <c r="P194" s="142"/>
      <c r="Q194" s="142"/>
      <c r="R194" s="142"/>
      <c r="S194" s="142">
        <v>0</v>
      </c>
      <c r="T194" s="33">
        <v>0</v>
      </c>
      <c r="U194" s="34">
        <v>0</v>
      </c>
      <c r="V194" s="35">
        <f t="shared" si="12"/>
        <v>0</v>
      </c>
    </row>
    <row r="195" spans="1:22" ht="15.75" thickBot="1" x14ac:dyDescent="0.3">
      <c r="A195" s="17">
        <v>191</v>
      </c>
      <c r="B195" s="150">
        <f>'X. Satser pensjonstilskudd'!B195</f>
        <v>0</v>
      </c>
      <c r="C195" s="18">
        <f>'X. Satser pensjonstilskudd'!C195</f>
        <v>0</v>
      </c>
      <c r="D195" s="18" t="str">
        <f>IFERROR(_xlfn.XLOOKUP($C195,factPensjon[Virksomhetsnr.],factPensjon[Forpliktelser]),"")</f>
        <v/>
      </c>
      <c r="E195" s="19">
        <f>SUMIFS(BasilRadata[Heltidsplasser
0-2],BasilRadata[År],'0. Oppsett'!$C$8,BasilRadata[1B. Organisasjonsnummer:],$C195)</f>
        <v>0</v>
      </c>
      <c r="F195" s="25">
        <f>'4. Selvkost og satser'!$B$54</f>
        <v>288170.9461329499</v>
      </c>
      <c r="G195" s="19">
        <f>SUMIFS(BasilRadata[Heltidsplasser
3-6],BasilRadata[År],'0. Oppsett'!$C$8,BasilRadata[1B. Organisasjonsnummer:],$C195)</f>
        <v>0</v>
      </c>
      <c r="H195" s="25">
        <f>'4. Selvkost og satser'!$B$55</f>
        <v>156604.23359926464</v>
      </c>
      <c r="I195" s="26">
        <f t="shared" si="9"/>
        <v>0</v>
      </c>
      <c r="J195" s="20">
        <f>SUMIFS(BasilRadata[8E. Oppgi antall årsverk barnehagen har pensjonsforpliktelser for:],'1. BASIL-rådata'!$I$3:$I$500,'X. Satser pensjonstilskudd'!$C195,BasilRadata[År],'0. Oppsett'!$C$8)</f>
        <v>0</v>
      </c>
      <c r="K195" s="30">
        <f>IFERROR(IF(OR(#REF!="",#REF!=""),0,J195*#REF!*#REF!*(1+'0. Oppsett'!$C$11)),0)</f>
        <v>0</v>
      </c>
      <c r="L195" s="95">
        <f t="shared" si="10"/>
        <v>0</v>
      </c>
      <c r="M195" s="31">
        <f t="shared" si="11"/>
        <v>0</v>
      </c>
      <c r="N195" s="32">
        <f>IFERROR(M195*'0. Oppsett'!$C$30,0)</f>
        <v>0</v>
      </c>
      <c r="O195" s="33">
        <v>0</v>
      </c>
      <c r="P195" s="142"/>
      <c r="Q195" s="142"/>
      <c r="R195" s="142"/>
      <c r="S195" s="142">
        <v>0</v>
      </c>
      <c r="T195" s="33">
        <v>0</v>
      </c>
      <c r="U195" s="34">
        <v>0</v>
      </c>
      <c r="V195" s="35">
        <f t="shared" si="12"/>
        <v>0</v>
      </c>
    </row>
    <row r="196" spans="1:22" ht="15.75" thickBot="1" x14ac:dyDescent="0.3">
      <c r="A196" s="21">
        <v>192</v>
      </c>
      <c r="B196" s="150">
        <f>'X. Satser pensjonstilskudd'!B196</f>
        <v>0</v>
      </c>
      <c r="C196" s="18">
        <f>'X. Satser pensjonstilskudd'!C196</f>
        <v>0</v>
      </c>
      <c r="D196" s="18" t="str">
        <f>IFERROR(_xlfn.XLOOKUP($C196,factPensjon[Virksomhetsnr.],factPensjon[Forpliktelser]),"")</f>
        <v/>
      </c>
      <c r="E196" s="19">
        <f>SUMIFS(BasilRadata[Heltidsplasser
0-2],BasilRadata[År],'0. Oppsett'!$C$8,BasilRadata[1B. Organisasjonsnummer:],$C196)</f>
        <v>0</v>
      </c>
      <c r="F196" s="25">
        <f>'4. Selvkost og satser'!$B$54</f>
        <v>288170.9461329499</v>
      </c>
      <c r="G196" s="19">
        <f>SUMIFS(BasilRadata[Heltidsplasser
3-6],BasilRadata[År],'0. Oppsett'!$C$8,BasilRadata[1B. Organisasjonsnummer:],$C196)</f>
        <v>0</v>
      </c>
      <c r="H196" s="25">
        <f>'4. Selvkost og satser'!$B$55</f>
        <v>156604.23359926464</v>
      </c>
      <c r="I196" s="26">
        <f t="shared" si="9"/>
        <v>0</v>
      </c>
      <c r="J196" s="20">
        <f>SUMIFS(BasilRadata[8E. Oppgi antall årsverk barnehagen har pensjonsforpliktelser for:],'1. BASIL-rådata'!$I$3:$I$500,'X. Satser pensjonstilskudd'!$C196,BasilRadata[År],'0. Oppsett'!$C$8)</f>
        <v>0</v>
      </c>
      <c r="K196" s="30">
        <f>IFERROR(IF(OR(#REF!="",#REF!=""),0,J196*#REF!*#REF!*(1+'0. Oppsett'!$C$11)),0)</f>
        <v>0</v>
      </c>
      <c r="L196" s="95">
        <f t="shared" si="10"/>
        <v>0</v>
      </c>
      <c r="M196" s="31">
        <f t="shared" si="11"/>
        <v>0</v>
      </c>
      <c r="N196" s="32">
        <f>IFERROR(M196*'0. Oppsett'!$C$30,0)</f>
        <v>0</v>
      </c>
      <c r="O196" s="33">
        <v>0</v>
      </c>
      <c r="P196" s="142"/>
      <c r="Q196" s="142"/>
      <c r="R196" s="142"/>
      <c r="S196" s="142">
        <v>0</v>
      </c>
      <c r="T196" s="33">
        <v>0</v>
      </c>
      <c r="U196" s="34">
        <v>0</v>
      </c>
      <c r="V196" s="35">
        <f t="shared" si="12"/>
        <v>0</v>
      </c>
    </row>
    <row r="197" spans="1:22" ht="15.75" thickBot="1" x14ac:dyDescent="0.3">
      <c r="A197" s="17">
        <v>193</v>
      </c>
      <c r="B197" s="150">
        <f>'X. Satser pensjonstilskudd'!B197</f>
        <v>0</v>
      </c>
      <c r="C197" s="18">
        <f>'X. Satser pensjonstilskudd'!C197</f>
        <v>0</v>
      </c>
      <c r="D197" s="18" t="str">
        <f>IFERROR(_xlfn.XLOOKUP($C197,factPensjon[Virksomhetsnr.],factPensjon[Forpliktelser]),"")</f>
        <v/>
      </c>
      <c r="E197" s="19">
        <f>SUMIFS(BasilRadata[Heltidsplasser
0-2],BasilRadata[År],'0. Oppsett'!$C$8,BasilRadata[1B. Organisasjonsnummer:],$C197)</f>
        <v>0</v>
      </c>
      <c r="F197" s="25">
        <f>'4. Selvkost og satser'!$B$54</f>
        <v>288170.9461329499</v>
      </c>
      <c r="G197" s="19">
        <f>SUMIFS(BasilRadata[Heltidsplasser
3-6],BasilRadata[År],'0. Oppsett'!$C$8,BasilRadata[1B. Organisasjonsnummer:],$C197)</f>
        <v>0</v>
      </c>
      <c r="H197" s="25">
        <f>'4. Selvkost og satser'!$B$55</f>
        <v>156604.23359926464</v>
      </c>
      <c r="I197" s="26">
        <f t="shared" ref="I197:I225" si="13">IFERROR(IF(B197="",0,E197*F197+G197*H197),0)</f>
        <v>0</v>
      </c>
      <c r="J197" s="20">
        <f>SUMIFS(BasilRadata[8E. Oppgi antall årsverk barnehagen har pensjonsforpliktelser for:],'1. BASIL-rådata'!$I$3:$I$500,'X. Satser pensjonstilskudd'!$C197,BasilRadata[År],'0. Oppsett'!$C$8)</f>
        <v>0</v>
      </c>
      <c r="K197" s="30">
        <f>IFERROR(IF(OR(#REF!="",#REF!=""),0,J197*#REF!*#REF!*(1+'0. Oppsett'!$C$11)),0)</f>
        <v>0</v>
      </c>
      <c r="L197" s="95">
        <f t="shared" ref="L197:L225" si="14">K197*J197</f>
        <v>0</v>
      </c>
      <c r="M197" s="31">
        <f t="shared" ref="M197:M225" si="15">E197+G197</f>
        <v>0</v>
      </c>
      <c r="N197" s="32">
        <f>IFERROR(M197*'0. Oppsett'!$C$30,0)</f>
        <v>0</v>
      </c>
      <c r="O197" s="33">
        <v>0</v>
      </c>
      <c r="P197" s="142"/>
      <c r="Q197" s="142"/>
      <c r="R197" s="142"/>
      <c r="S197" s="142">
        <v>0</v>
      </c>
      <c r="T197" s="33">
        <v>0</v>
      </c>
      <c r="U197" s="34">
        <v>0</v>
      </c>
      <c r="V197" s="35">
        <f t="shared" si="12"/>
        <v>0</v>
      </c>
    </row>
    <row r="198" spans="1:22" ht="15.75" thickBot="1" x14ac:dyDescent="0.3">
      <c r="A198" s="21">
        <v>194</v>
      </c>
      <c r="B198" s="150">
        <f>'X. Satser pensjonstilskudd'!B198</f>
        <v>0</v>
      </c>
      <c r="C198" s="18">
        <f>'X. Satser pensjonstilskudd'!C198</f>
        <v>0</v>
      </c>
      <c r="D198" s="18" t="str">
        <f>IFERROR(_xlfn.XLOOKUP($C198,factPensjon[Virksomhetsnr.],factPensjon[Forpliktelser]),"")</f>
        <v/>
      </c>
      <c r="E198" s="19">
        <f>SUMIFS(BasilRadata[Heltidsplasser
0-2],BasilRadata[År],'0. Oppsett'!$C$8,BasilRadata[1B. Organisasjonsnummer:],$C198)</f>
        <v>0</v>
      </c>
      <c r="F198" s="25">
        <f>'4. Selvkost og satser'!$B$54</f>
        <v>288170.9461329499</v>
      </c>
      <c r="G198" s="19">
        <f>SUMIFS(BasilRadata[Heltidsplasser
3-6],BasilRadata[År],'0. Oppsett'!$C$8,BasilRadata[1B. Organisasjonsnummer:],$C198)</f>
        <v>0</v>
      </c>
      <c r="H198" s="25">
        <f>'4. Selvkost og satser'!$B$55</f>
        <v>156604.23359926464</v>
      </c>
      <c r="I198" s="26">
        <f t="shared" si="13"/>
        <v>0</v>
      </c>
      <c r="J198" s="20">
        <f>SUMIFS(BasilRadata[8E. Oppgi antall årsverk barnehagen har pensjonsforpliktelser for:],'1. BASIL-rådata'!$I$3:$I$500,'X. Satser pensjonstilskudd'!$C198,BasilRadata[År],'0. Oppsett'!$C$8)</f>
        <v>0</v>
      </c>
      <c r="K198" s="30">
        <f>IFERROR(IF(OR(#REF!="",#REF!=""),0,J198*#REF!*#REF!*(1+'0. Oppsett'!$C$11)),0)</f>
        <v>0</v>
      </c>
      <c r="L198" s="95">
        <f t="shared" si="14"/>
        <v>0</v>
      </c>
      <c r="M198" s="31">
        <f t="shared" si="15"/>
        <v>0</v>
      </c>
      <c r="N198" s="32">
        <f>IFERROR(M198*'0. Oppsett'!$C$30,0)</f>
        <v>0</v>
      </c>
      <c r="O198" s="33">
        <v>0</v>
      </c>
      <c r="P198" s="142"/>
      <c r="Q198" s="142"/>
      <c r="R198" s="142"/>
      <c r="S198" s="142">
        <v>0</v>
      </c>
      <c r="T198" s="33">
        <v>0</v>
      </c>
      <c r="U198" s="34">
        <v>0</v>
      </c>
      <c r="V198" s="35">
        <f t="shared" si="12"/>
        <v>0</v>
      </c>
    </row>
    <row r="199" spans="1:22" ht="15.75" thickBot="1" x14ac:dyDescent="0.3">
      <c r="A199" s="17">
        <v>195</v>
      </c>
      <c r="B199" s="150">
        <f>'X. Satser pensjonstilskudd'!B199</f>
        <v>0</v>
      </c>
      <c r="C199" s="18">
        <f>'X. Satser pensjonstilskudd'!C199</f>
        <v>0</v>
      </c>
      <c r="D199" s="18" t="str">
        <f>IFERROR(_xlfn.XLOOKUP($C199,factPensjon[Virksomhetsnr.],factPensjon[Forpliktelser]),"")</f>
        <v/>
      </c>
      <c r="E199" s="19">
        <f>SUMIFS(BasilRadata[Heltidsplasser
0-2],BasilRadata[År],'0. Oppsett'!$C$8,BasilRadata[1B. Organisasjonsnummer:],$C199)</f>
        <v>0</v>
      </c>
      <c r="F199" s="25">
        <f>'4. Selvkost og satser'!$B$54</f>
        <v>288170.9461329499</v>
      </c>
      <c r="G199" s="19">
        <f>SUMIFS(BasilRadata[Heltidsplasser
3-6],BasilRadata[År],'0. Oppsett'!$C$8,BasilRadata[1B. Organisasjonsnummer:],$C199)</f>
        <v>0</v>
      </c>
      <c r="H199" s="25">
        <f>'4. Selvkost og satser'!$B$55</f>
        <v>156604.23359926464</v>
      </c>
      <c r="I199" s="26">
        <f t="shared" si="13"/>
        <v>0</v>
      </c>
      <c r="J199" s="20">
        <f>SUMIFS(BasilRadata[8E. Oppgi antall årsverk barnehagen har pensjonsforpliktelser for:],'1. BASIL-rådata'!$I$3:$I$500,'X. Satser pensjonstilskudd'!$C199,BasilRadata[År],'0. Oppsett'!$C$8)</f>
        <v>0</v>
      </c>
      <c r="K199" s="30">
        <f>IFERROR(IF(OR(#REF!="",#REF!=""),0,J199*#REF!*#REF!*(1+'0. Oppsett'!$C$11)),0)</f>
        <v>0</v>
      </c>
      <c r="L199" s="95">
        <f t="shared" si="14"/>
        <v>0</v>
      </c>
      <c r="M199" s="31">
        <f t="shared" si="15"/>
        <v>0</v>
      </c>
      <c r="N199" s="32">
        <f>IFERROR(M199*'0. Oppsett'!$C$30,0)</f>
        <v>0</v>
      </c>
      <c r="O199" s="33">
        <v>0</v>
      </c>
      <c r="P199" s="142"/>
      <c r="Q199" s="142"/>
      <c r="R199" s="142"/>
      <c r="S199" s="142">
        <v>0</v>
      </c>
      <c r="T199" s="33">
        <v>0</v>
      </c>
      <c r="U199" s="34">
        <v>0</v>
      </c>
      <c r="V199" s="35">
        <f t="shared" si="12"/>
        <v>0</v>
      </c>
    </row>
    <row r="200" spans="1:22" ht="15.75" thickBot="1" x14ac:dyDescent="0.3">
      <c r="A200" s="21">
        <v>196</v>
      </c>
      <c r="B200" s="150">
        <f>'X. Satser pensjonstilskudd'!B200</f>
        <v>0</v>
      </c>
      <c r="C200" s="18">
        <f>'X. Satser pensjonstilskudd'!C200</f>
        <v>0</v>
      </c>
      <c r="D200" s="18" t="str">
        <f>IFERROR(_xlfn.XLOOKUP($C200,factPensjon[Virksomhetsnr.],factPensjon[Forpliktelser]),"")</f>
        <v/>
      </c>
      <c r="E200" s="19">
        <f>SUMIFS(BasilRadata[Heltidsplasser
0-2],BasilRadata[År],'0. Oppsett'!$C$8,BasilRadata[1B. Organisasjonsnummer:],$C200)</f>
        <v>0</v>
      </c>
      <c r="F200" s="25">
        <f>'4. Selvkost og satser'!$B$54</f>
        <v>288170.9461329499</v>
      </c>
      <c r="G200" s="19">
        <f>SUMIFS(BasilRadata[Heltidsplasser
3-6],BasilRadata[År],'0. Oppsett'!$C$8,BasilRadata[1B. Organisasjonsnummer:],$C200)</f>
        <v>0</v>
      </c>
      <c r="H200" s="25">
        <f>'4. Selvkost og satser'!$B$55</f>
        <v>156604.23359926464</v>
      </c>
      <c r="I200" s="26">
        <f t="shared" si="13"/>
        <v>0</v>
      </c>
      <c r="J200" s="20">
        <f>SUMIFS(BasilRadata[8E. Oppgi antall årsverk barnehagen har pensjonsforpliktelser for:],'1. BASIL-rådata'!$I$3:$I$500,'X. Satser pensjonstilskudd'!$C200,BasilRadata[År],'0. Oppsett'!$C$8)</f>
        <v>0</v>
      </c>
      <c r="K200" s="30">
        <f>IFERROR(IF(OR(#REF!="",#REF!=""),0,J200*#REF!*#REF!*(1+'0. Oppsett'!$C$11)),0)</f>
        <v>0</v>
      </c>
      <c r="L200" s="95">
        <f t="shared" si="14"/>
        <v>0</v>
      </c>
      <c r="M200" s="31">
        <f t="shared" si="15"/>
        <v>0</v>
      </c>
      <c r="N200" s="32">
        <f>IFERROR(M200*'0. Oppsett'!$C$30,0)</f>
        <v>0</v>
      </c>
      <c r="O200" s="33">
        <v>0</v>
      </c>
      <c r="P200" s="142"/>
      <c r="Q200" s="142"/>
      <c r="R200" s="142"/>
      <c r="S200" s="142">
        <v>0</v>
      </c>
      <c r="T200" s="33">
        <v>0</v>
      </c>
      <c r="U200" s="34">
        <v>0</v>
      </c>
      <c r="V200" s="35">
        <f t="shared" si="12"/>
        <v>0</v>
      </c>
    </row>
    <row r="201" spans="1:22" ht="15.75" thickBot="1" x14ac:dyDescent="0.3">
      <c r="A201" s="17">
        <v>197</v>
      </c>
      <c r="B201" s="150">
        <f>'X. Satser pensjonstilskudd'!B201</f>
        <v>0</v>
      </c>
      <c r="C201" s="18">
        <f>'X. Satser pensjonstilskudd'!C201</f>
        <v>0</v>
      </c>
      <c r="D201" s="18" t="str">
        <f>IFERROR(_xlfn.XLOOKUP($C201,factPensjon[Virksomhetsnr.],factPensjon[Forpliktelser]),"")</f>
        <v/>
      </c>
      <c r="E201" s="19">
        <f>SUMIFS(BasilRadata[Heltidsplasser
0-2],BasilRadata[År],'0. Oppsett'!$C$8,BasilRadata[1B. Organisasjonsnummer:],$C201)</f>
        <v>0</v>
      </c>
      <c r="F201" s="25">
        <f>'4. Selvkost og satser'!$B$54</f>
        <v>288170.9461329499</v>
      </c>
      <c r="G201" s="19">
        <f>SUMIFS(BasilRadata[Heltidsplasser
3-6],BasilRadata[År],'0. Oppsett'!$C$8,BasilRadata[1B. Organisasjonsnummer:],$C201)</f>
        <v>0</v>
      </c>
      <c r="H201" s="25">
        <f>'4. Selvkost og satser'!$B$55</f>
        <v>156604.23359926464</v>
      </c>
      <c r="I201" s="26">
        <f t="shared" si="13"/>
        <v>0</v>
      </c>
      <c r="J201" s="20">
        <f>SUMIFS(BasilRadata[8E. Oppgi antall årsverk barnehagen har pensjonsforpliktelser for:],'1. BASIL-rådata'!$I$3:$I$500,'X. Satser pensjonstilskudd'!$C201,BasilRadata[År],'0. Oppsett'!$C$8)</f>
        <v>0</v>
      </c>
      <c r="K201" s="30">
        <f>IFERROR(IF(OR(#REF!="",#REF!=""),0,J201*#REF!*#REF!*(1+'0. Oppsett'!$C$11)),0)</f>
        <v>0</v>
      </c>
      <c r="L201" s="95">
        <f t="shared" si="14"/>
        <v>0</v>
      </c>
      <c r="M201" s="31">
        <f t="shared" si="15"/>
        <v>0</v>
      </c>
      <c r="N201" s="32">
        <f>IFERROR(M201*'0. Oppsett'!$C$30,0)</f>
        <v>0</v>
      </c>
      <c r="O201" s="33">
        <v>0</v>
      </c>
      <c r="P201" s="142"/>
      <c r="Q201" s="142"/>
      <c r="R201" s="142"/>
      <c r="S201" s="142">
        <v>0</v>
      </c>
      <c r="T201" s="33">
        <v>0</v>
      </c>
      <c r="U201" s="34">
        <v>0</v>
      </c>
      <c r="V201" s="35">
        <f t="shared" si="12"/>
        <v>0</v>
      </c>
    </row>
    <row r="202" spans="1:22" ht="15.75" thickBot="1" x14ac:dyDescent="0.3">
      <c r="A202" s="21">
        <v>198</v>
      </c>
      <c r="B202" s="150">
        <f>'X. Satser pensjonstilskudd'!B202</f>
        <v>0</v>
      </c>
      <c r="C202" s="18">
        <f>'X. Satser pensjonstilskudd'!C202</f>
        <v>0</v>
      </c>
      <c r="D202" s="18" t="str">
        <f>IFERROR(_xlfn.XLOOKUP($C202,factPensjon[Virksomhetsnr.],factPensjon[Forpliktelser]),"")</f>
        <v/>
      </c>
      <c r="E202" s="19">
        <f>SUMIFS(BasilRadata[Heltidsplasser
0-2],BasilRadata[År],'0. Oppsett'!$C$8,BasilRadata[1B. Organisasjonsnummer:],$C202)</f>
        <v>0</v>
      </c>
      <c r="F202" s="25">
        <f>'4. Selvkost og satser'!$B$54</f>
        <v>288170.9461329499</v>
      </c>
      <c r="G202" s="19">
        <f>SUMIFS(BasilRadata[Heltidsplasser
3-6],BasilRadata[År],'0. Oppsett'!$C$8,BasilRadata[1B. Organisasjonsnummer:],$C202)</f>
        <v>0</v>
      </c>
      <c r="H202" s="25">
        <f>'4. Selvkost og satser'!$B$55</f>
        <v>156604.23359926464</v>
      </c>
      <c r="I202" s="26">
        <f t="shared" si="13"/>
        <v>0</v>
      </c>
      <c r="J202" s="20">
        <f>SUMIFS(BasilRadata[8E. Oppgi antall årsverk barnehagen har pensjonsforpliktelser for:],'1. BASIL-rådata'!$I$3:$I$500,'X. Satser pensjonstilskudd'!$C202,BasilRadata[År],'0. Oppsett'!$C$8)</f>
        <v>0</v>
      </c>
      <c r="K202" s="30">
        <f>IFERROR(IF(OR(#REF!="",#REF!=""),0,J202*#REF!*#REF!*(1+'0. Oppsett'!$C$11)),0)</f>
        <v>0</v>
      </c>
      <c r="L202" s="95">
        <f t="shared" si="14"/>
        <v>0</v>
      </c>
      <c r="M202" s="31">
        <f t="shared" si="15"/>
        <v>0</v>
      </c>
      <c r="N202" s="32">
        <f>IFERROR(M202*'0. Oppsett'!$C$30,0)</f>
        <v>0</v>
      </c>
      <c r="O202" s="33">
        <v>0</v>
      </c>
      <c r="P202" s="142"/>
      <c r="Q202" s="142"/>
      <c r="R202" s="142"/>
      <c r="S202" s="142">
        <v>0</v>
      </c>
      <c r="T202" s="33">
        <v>0</v>
      </c>
      <c r="U202" s="34">
        <v>0</v>
      </c>
      <c r="V202" s="35">
        <f t="shared" si="12"/>
        <v>0</v>
      </c>
    </row>
    <row r="203" spans="1:22" ht="15.75" thickBot="1" x14ac:dyDescent="0.3">
      <c r="A203" s="17">
        <v>199</v>
      </c>
      <c r="B203" s="150">
        <f>'X. Satser pensjonstilskudd'!B203</f>
        <v>0</v>
      </c>
      <c r="C203" s="18">
        <f>'X. Satser pensjonstilskudd'!C203</f>
        <v>0</v>
      </c>
      <c r="D203" s="18" t="str">
        <f>IFERROR(_xlfn.XLOOKUP($C203,factPensjon[Virksomhetsnr.],factPensjon[Forpliktelser]),"")</f>
        <v/>
      </c>
      <c r="E203" s="19">
        <f>SUMIFS(BasilRadata[Heltidsplasser
0-2],BasilRadata[År],'0. Oppsett'!$C$8,BasilRadata[1B. Organisasjonsnummer:],$C203)</f>
        <v>0</v>
      </c>
      <c r="F203" s="25">
        <f>'4. Selvkost og satser'!$B$54</f>
        <v>288170.9461329499</v>
      </c>
      <c r="G203" s="19">
        <f>SUMIFS(BasilRadata[Heltidsplasser
3-6],BasilRadata[År],'0. Oppsett'!$C$8,BasilRadata[1B. Organisasjonsnummer:],$C203)</f>
        <v>0</v>
      </c>
      <c r="H203" s="25">
        <f>'4. Selvkost og satser'!$B$55</f>
        <v>156604.23359926464</v>
      </c>
      <c r="I203" s="26">
        <f t="shared" si="13"/>
        <v>0</v>
      </c>
      <c r="J203" s="20">
        <f>SUMIFS(BasilRadata[8E. Oppgi antall årsverk barnehagen har pensjonsforpliktelser for:],'1. BASIL-rådata'!$I$3:$I$500,'X. Satser pensjonstilskudd'!$C203,BasilRadata[År],'0. Oppsett'!$C$8)</f>
        <v>0</v>
      </c>
      <c r="K203" s="30">
        <f>IFERROR(IF(OR(#REF!="",#REF!=""),0,J203*#REF!*#REF!*(1+'0. Oppsett'!$C$11)),0)</f>
        <v>0</v>
      </c>
      <c r="L203" s="95">
        <f t="shared" si="14"/>
        <v>0</v>
      </c>
      <c r="M203" s="31">
        <f t="shared" si="15"/>
        <v>0</v>
      </c>
      <c r="N203" s="32">
        <f>IFERROR(M203*'0. Oppsett'!$C$30,0)</f>
        <v>0</v>
      </c>
      <c r="O203" s="33">
        <v>0</v>
      </c>
      <c r="P203" s="142"/>
      <c r="Q203" s="142"/>
      <c r="R203" s="142"/>
      <c r="S203" s="142">
        <v>0</v>
      </c>
      <c r="T203" s="33">
        <v>0</v>
      </c>
      <c r="U203" s="34">
        <v>0</v>
      </c>
      <c r="V203" s="35">
        <f t="shared" ref="V203:V224" si="16">IFERROR(IF(B203="",0,I203+K203+N203+O203+T203+U203),0)</f>
        <v>0</v>
      </c>
    </row>
    <row r="204" spans="1:22" ht="15.75" thickBot="1" x14ac:dyDescent="0.3">
      <c r="A204" s="21">
        <v>200</v>
      </c>
      <c r="B204" s="150">
        <f>'X. Satser pensjonstilskudd'!B204</f>
        <v>0</v>
      </c>
      <c r="C204" s="18">
        <f>'X. Satser pensjonstilskudd'!C204</f>
        <v>0</v>
      </c>
      <c r="D204" s="18" t="str">
        <f>IFERROR(_xlfn.XLOOKUP($C204,factPensjon[Virksomhetsnr.],factPensjon[Forpliktelser]),"")</f>
        <v/>
      </c>
      <c r="E204" s="19">
        <f>SUMIFS(BasilRadata[Heltidsplasser
0-2],BasilRadata[År],'0. Oppsett'!$C$8,BasilRadata[1B. Organisasjonsnummer:],$C204)</f>
        <v>0</v>
      </c>
      <c r="F204" s="25">
        <f>'4. Selvkost og satser'!$B$54</f>
        <v>288170.9461329499</v>
      </c>
      <c r="G204" s="19">
        <f>SUMIFS(BasilRadata[Heltidsplasser
3-6],BasilRadata[År],'0. Oppsett'!$C$8,BasilRadata[1B. Organisasjonsnummer:],$C204)</f>
        <v>0</v>
      </c>
      <c r="H204" s="25">
        <f>'4. Selvkost og satser'!$B$55</f>
        <v>156604.23359926464</v>
      </c>
      <c r="I204" s="26">
        <f t="shared" si="13"/>
        <v>0</v>
      </c>
      <c r="J204" s="20">
        <f>SUMIFS(BasilRadata[8E. Oppgi antall årsverk barnehagen har pensjonsforpliktelser for:],'1. BASIL-rådata'!$I$3:$I$500,'X. Satser pensjonstilskudd'!$C204,BasilRadata[År],'0. Oppsett'!$C$8)</f>
        <v>0</v>
      </c>
      <c r="K204" s="30">
        <f>IFERROR(IF(OR(#REF!="",#REF!=""),0,J204*#REF!*#REF!*(1+'0. Oppsett'!$C$11)),0)</f>
        <v>0</v>
      </c>
      <c r="L204" s="95">
        <f t="shared" si="14"/>
        <v>0</v>
      </c>
      <c r="M204" s="31">
        <f t="shared" si="15"/>
        <v>0</v>
      </c>
      <c r="N204" s="32">
        <f>IFERROR(M204*'0. Oppsett'!$C$30,0)</f>
        <v>0</v>
      </c>
      <c r="O204" s="33">
        <v>0</v>
      </c>
      <c r="P204" s="142"/>
      <c r="Q204" s="142"/>
      <c r="R204" s="142"/>
      <c r="S204" s="142">
        <v>0</v>
      </c>
      <c r="T204" s="33">
        <v>0</v>
      </c>
      <c r="U204" s="34">
        <v>0</v>
      </c>
      <c r="V204" s="35">
        <f t="shared" si="16"/>
        <v>0</v>
      </c>
    </row>
    <row r="205" spans="1:22" ht="15.75" thickBot="1" x14ac:dyDescent="0.3">
      <c r="A205" s="17">
        <v>201</v>
      </c>
      <c r="B205" s="150">
        <f>'X. Satser pensjonstilskudd'!B205</f>
        <v>0</v>
      </c>
      <c r="C205" s="18">
        <f>'X. Satser pensjonstilskudd'!C205</f>
        <v>0</v>
      </c>
      <c r="D205" s="18" t="str">
        <f>IFERROR(_xlfn.XLOOKUP($C205,factPensjon[Virksomhetsnr.],factPensjon[Forpliktelser]),"")</f>
        <v/>
      </c>
      <c r="E205" s="19">
        <f>SUMIFS(BasilRadata[Heltidsplasser
0-2],BasilRadata[År],'0. Oppsett'!$C$8,BasilRadata[1B. Organisasjonsnummer:],$C205)</f>
        <v>0</v>
      </c>
      <c r="F205" s="25">
        <f>'4. Selvkost og satser'!$B$54</f>
        <v>288170.9461329499</v>
      </c>
      <c r="G205" s="19">
        <f>SUMIFS(BasilRadata[Heltidsplasser
3-6],BasilRadata[År],'0. Oppsett'!$C$8,BasilRadata[1B. Organisasjonsnummer:],$C205)</f>
        <v>0</v>
      </c>
      <c r="H205" s="25">
        <f>'4. Selvkost og satser'!$B$55</f>
        <v>156604.23359926464</v>
      </c>
      <c r="I205" s="26">
        <f t="shared" si="13"/>
        <v>0</v>
      </c>
      <c r="J205" s="20">
        <f>SUMIFS(BasilRadata[8E. Oppgi antall årsverk barnehagen har pensjonsforpliktelser for:],'1. BASIL-rådata'!$I$3:$I$500,'X. Satser pensjonstilskudd'!$C205,BasilRadata[År],'0. Oppsett'!$C$8)</f>
        <v>0</v>
      </c>
      <c r="K205" s="30">
        <f>IFERROR(IF(OR(#REF!="",#REF!=""),0,J205*#REF!*#REF!*(1+'0. Oppsett'!$C$11)),0)</f>
        <v>0</v>
      </c>
      <c r="L205" s="95">
        <f t="shared" si="14"/>
        <v>0</v>
      </c>
      <c r="M205" s="31">
        <f t="shared" si="15"/>
        <v>0</v>
      </c>
      <c r="N205" s="32">
        <f>IFERROR(M205*'0. Oppsett'!$C$30,0)</f>
        <v>0</v>
      </c>
      <c r="O205" s="33">
        <v>0</v>
      </c>
      <c r="P205" s="142"/>
      <c r="Q205" s="142"/>
      <c r="R205" s="142"/>
      <c r="S205" s="142">
        <v>0</v>
      </c>
      <c r="T205" s="33">
        <v>0</v>
      </c>
      <c r="U205" s="34">
        <v>0</v>
      </c>
      <c r="V205" s="35">
        <f t="shared" si="16"/>
        <v>0</v>
      </c>
    </row>
    <row r="206" spans="1:22" ht="15.75" thickBot="1" x14ac:dyDescent="0.3">
      <c r="A206" s="21">
        <v>202</v>
      </c>
      <c r="B206" s="150">
        <f>'X. Satser pensjonstilskudd'!B206</f>
        <v>0</v>
      </c>
      <c r="C206" s="18">
        <f>'X. Satser pensjonstilskudd'!C206</f>
        <v>0</v>
      </c>
      <c r="D206" s="18" t="str">
        <f>IFERROR(_xlfn.XLOOKUP($C206,factPensjon[Virksomhetsnr.],factPensjon[Forpliktelser]),"")</f>
        <v/>
      </c>
      <c r="E206" s="19">
        <f>SUMIFS(BasilRadata[Heltidsplasser
0-2],BasilRadata[År],'0. Oppsett'!$C$8,BasilRadata[1B. Organisasjonsnummer:],$C206)</f>
        <v>0</v>
      </c>
      <c r="F206" s="25">
        <f>'4. Selvkost og satser'!$B$54</f>
        <v>288170.9461329499</v>
      </c>
      <c r="G206" s="19">
        <f>SUMIFS(BasilRadata[Heltidsplasser
3-6],BasilRadata[År],'0. Oppsett'!$C$8,BasilRadata[1B. Organisasjonsnummer:],$C206)</f>
        <v>0</v>
      </c>
      <c r="H206" s="25">
        <f>'4. Selvkost og satser'!$B$55</f>
        <v>156604.23359926464</v>
      </c>
      <c r="I206" s="26">
        <f t="shared" si="13"/>
        <v>0</v>
      </c>
      <c r="J206" s="20">
        <f>SUMIFS(BasilRadata[8E. Oppgi antall årsverk barnehagen har pensjonsforpliktelser for:],'1. BASIL-rådata'!$I$3:$I$500,'X. Satser pensjonstilskudd'!$C206,BasilRadata[År],'0. Oppsett'!$C$8)</f>
        <v>0</v>
      </c>
      <c r="K206" s="30">
        <f>IFERROR(IF(OR(#REF!="",#REF!=""),0,J206*#REF!*#REF!*(1+'0. Oppsett'!$C$11)),0)</f>
        <v>0</v>
      </c>
      <c r="L206" s="95">
        <f t="shared" si="14"/>
        <v>0</v>
      </c>
      <c r="M206" s="31">
        <f t="shared" si="15"/>
        <v>0</v>
      </c>
      <c r="N206" s="32">
        <f>IFERROR(M206*'0. Oppsett'!$C$30,0)</f>
        <v>0</v>
      </c>
      <c r="O206" s="33">
        <v>0</v>
      </c>
      <c r="P206" s="142"/>
      <c r="Q206" s="142"/>
      <c r="R206" s="142"/>
      <c r="S206" s="142">
        <v>0</v>
      </c>
      <c r="T206" s="33">
        <v>0</v>
      </c>
      <c r="U206" s="34">
        <v>0</v>
      </c>
      <c r="V206" s="35">
        <f t="shared" si="16"/>
        <v>0</v>
      </c>
    </row>
    <row r="207" spans="1:22" ht="15.75" thickBot="1" x14ac:dyDescent="0.3">
      <c r="A207" s="17">
        <v>203</v>
      </c>
      <c r="B207" s="150">
        <f>'X. Satser pensjonstilskudd'!B207</f>
        <v>0</v>
      </c>
      <c r="C207" s="18">
        <f>'X. Satser pensjonstilskudd'!C207</f>
        <v>0</v>
      </c>
      <c r="D207" s="18" t="str">
        <f>IFERROR(_xlfn.XLOOKUP($C207,factPensjon[Virksomhetsnr.],factPensjon[Forpliktelser]),"")</f>
        <v/>
      </c>
      <c r="E207" s="19">
        <f>SUMIFS(BasilRadata[Heltidsplasser
0-2],BasilRadata[År],'0. Oppsett'!$C$8,BasilRadata[1B. Organisasjonsnummer:],$C207)</f>
        <v>0</v>
      </c>
      <c r="F207" s="25">
        <f>'4. Selvkost og satser'!$B$54</f>
        <v>288170.9461329499</v>
      </c>
      <c r="G207" s="19">
        <f>SUMIFS(BasilRadata[Heltidsplasser
3-6],BasilRadata[År],'0. Oppsett'!$C$8,BasilRadata[1B. Organisasjonsnummer:],$C207)</f>
        <v>0</v>
      </c>
      <c r="H207" s="25">
        <f>'4. Selvkost og satser'!$B$55</f>
        <v>156604.23359926464</v>
      </c>
      <c r="I207" s="26">
        <f t="shared" si="13"/>
        <v>0</v>
      </c>
      <c r="J207" s="20">
        <f>SUMIFS(BasilRadata[8E. Oppgi antall årsverk barnehagen har pensjonsforpliktelser for:],'1. BASIL-rådata'!$I$3:$I$500,'X. Satser pensjonstilskudd'!$C207,BasilRadata[År],'0. Oppsett'!$C$8)</f>
        <v>0</v>
      </c>
      <c r="K207" s="30">
        <f>IFERROR(IF(OR(#REF!="",#REF!=""),0,J207*#REF!*#REF!*(1+'0. Oppsett'!$C$11)),0)</f>
        <v>0</v>
      </c>
      <c r="L207" s="95">
        <f t="shared" si="14"/>
        <v>0</v>
      </c>
      <c r="M207" s="31">
        <f t="shared" si="15"/>
        <v>0</v>
      </c>
      <c r="N207" s="32">
        <f>IFERROR(M207*'0. Oppsett'!$C$30,0)</f>
        <v>0</v>
      </c>
      <c r="O207" s="33">
        <v>0</v>
      </c>
      <c r="P207" s="142"/>
      <c r="Q207" s="142"/>
      <c r="R207" s="142"/>
      <c r="S207" s="142">
        <v>0</v>
      </c>
      <c r="T207" s="33">
        <v>0</v>
      </c>
      <c r="U207" s="34">
        <v>0</v>
      </c>
      <c r="V207" s="35">
        <f t="shared" si="16"/>
        <v>0</v>
      </c>
    </row>
    <row r="208" spans="1:22" ht="15.75" thickBot="1" x14ac:dyDescent="0.3">
      <c r="A208" s="21">
        <v>204</v>
      </c>
      <c r="B208" s="150">
        <f>'X. Satser pensjonstilskudd'!B208</f>
        <v>0</v>
      </c>
      <c r="C208" s="18">
        <f>'X. Satser pensjonstilskudd'!C208</f>
        <v>0</v>
      </c>
      <c r="D208" s="18" t="str">
        <f>IFERROR(_xlfn.XLOOKUP($C208,factPensjon[Virksomhetsnr.],factPensjon[Forpliktelser]),"")</f>
        <v/>
      </c>
      <c r="E208" s="19">
        <f>SUMIFS(BasilRadata[Heltidsplasser
0-2],BasilRadata[År],'0. Oppsett'!$C$8,BasilRadata[1B. Organisasjonsnummer:],$C208)</f>
        <v>0</v>
      </c>
      <c r="F208" s="25">
        <f>'4. Selvkost og satser'!$B$54</f>
        <v>288170.9461329499</v>
      </c>
      <c r="G208" s="19">
        <f>SUMIFS(BasilRadata[Heltidsplasser
3-6],BasilRadata[År],'0. Oppsett'!$C$8,BasilRadata[1B. Organisasjonsnummer:],$C208)</f>
        <v>0</v>
      </c>
      <c r="H208" s="25">
        <f>'4. Selvkost og satser'!$B$55</f>
        <v>156604.23359926464</v>
      </c>
      <c r="I208" s="26">
        <f t="shared" si="13"/>
        <v>0</v>
      </c>
      <c r="J208" s="20">
        <f>SUMIFS(BasilRadata[8E. Oppgi antall årsverk barnehagen har pensjonsforpliktelser for:],'1. BASIL-rådata'!$I$3:$I$500,'X. Satser pensjonstilskudd'!$C208,BasilRadata[År],'0. Oppsett'!$C$8)</f>
        <v>0</v>
      </c>
      <c r="K208" s="30">
        <f>IFERROR(IF(OR(#REF!="",#REF!=""),0,J208*#REF!*#REF!*(1+'0. Oppsett'!$C$11)),0)</f>
        <v>0</v>
      </c>
      <c r="L208" s="95">
        <f t="shared" si="14"/>
        <v>0</v>
      </c>
      <c r="M208" s="31">
        <f t="shared" si="15"/>
        <v>0</v>
      </c>
      <c r="N208" s="32">
        <f>IFERROR(M208*'0. Oppsett'!$C$30,0)</f>
        <v>0</v>
      </c>
      <c r="O208" s="33">
        <v>0</v>
      </c>
      <c r="P208" s="142"/>
      <c r="Q208" s="142"/>
      <c r="R208" s="142"/>
      <c r="S208" s="142">
        <v>0</v>
      </c>
      <c r="T208" s="33">
        <v>0</v>
      </c>
      <c r="U208" s="34">
        <v>0</v>
      </c>
      <c r="V208" s="35">
        <f t="shared" si="16"/>
        <v>0</v>
      </c>
    </row>
    <row r="209" spans="1:22" ht="15.75" thickBot="1" x14ac:dyDescent="0.3">
      <c r="A209" s="17">
        <v>205</v>
      </c>
      <c r="B209" s="150">
        <f>'X. Satser pensjonstilskudd'!B209</f>
        <v>0</v>
      </c>
      <c r="C209" s="18">
        <f>'X. Satser pensjonstilskudd'!C209</f>
        <v>0</v>
      </c>
      <c r="D209" s="18" t="str">
        <f>IFERROR(_xlfn.XLOOKUP($C209,factPensjon[Virksomhetsnr.],factPensjon[Forpliktelser]),"")</f>
        <v/>
      </c>
      <c r="E209" s="19">
        <f>SUMIFS(BasilRadata[Heltidsplasser
0-2],BasilRadata[År],'0. Oppsett'!$C$8,BasilRadata[1B. Organisasjonsnummer:],$C209)</f>
        <v>0</v>
      </c>
      <c r="F209" s="25">
        <f>'4. Selvkost og satser'!$B$54</f>
        <v>288170.9461329499</v>
      </c>
      <c r="G209" s="19">
        <f>SUMIFS(BasilRadata[Heltidsplasser
3-6],BasilRadata[År],'0. Oppsett'!$C$8,BasilRadata[1B. Organisasjonsnummer:],$C209)</f>
        <v>0</v>
      </c>
      <c r="H209" s="25">
        <f>'4. Selvkost og satser'!$B$55</f>
        <v>156604.23359926464</v>
      </c>
      <c r="I209" s="26">
        <f t="shared" si="13"/>
        <v>0</v>
      </c>
      <c r="J209" s="20">
        <f>SUMIFS(BasilRadata[8E. Oppgi antall årsverk barnehagen har pensjonsforpliktelser for:],'1. BASIL-rådata'!$I$3:$I$500,'X. Satser pensjonstilskudd'!$C209,BasilRadata[År],'0. Oppsett'!$C$8)</f>
        <v>0</v>
      </c>
      <c r="K209" s="30">
        <f>IFERROR(IF(OR(#REF!="",#REF!=""),0,J209*#REF!*#REF!*(1+'0. Oppsett'!$C$11)),0)</f>
        <v>0</v>
      </c>
      <c r="L209" s="95">
        <f t="shared" si="14"/>
        <v>0</v>
      </c>
      <c r="M209" s="31">
        <f t="shared" si="15"/>
        <v>0</v>
      </c>
      <c r="N209" s="32">
        <f>IFERROR(M209*'0. Oppsett'!$C$30,0)</f>
        <v>0</v>
      </c>
      <c r="O209" s="33">
        <v>0</v>
      </c>
      <c r="P209" s="142"/>
      <c r="Q209" s="142"/>
      <c r="R209" s="142"/>
      <c r="S209" s="142">
        <v>0</v>
      </c>
      <c r="T209" s="33">
        <v>0</v>
      </c>
      <c r="U209" s="34">
        <v>0</v>
      </c>
      <c r="V209" s="35">
        <f t="shared" si="16"/>
        <v>0</v>
      </c>
    </row>
    <row r="210" spans="1:22" ht="15.75" thickBot="1" x14ac:dyDescent="0.3">
      <c r="A210" s="21">
        <v>206</v>
      </c>
      <c r="B210" s="150">
        <f>'X. Satser pensjonstilskudd'!B210</f>
        <v>0</v>
      </c>
      <c r="C210" s="18">
        <f>'X. Satser pensjonstilskudd'!C210</f>
        <v>0</v>
      </c>
      <c r="D210" s="18" t="str">
        <f>IFERROR(_xlfn.XLOOKUP($C210,factPensjon[Virksomhetsnr.],factPensjon[Forpliktelser]),"")</f>
        <v/>
      </c>
      <c r="E210" s="19">
        <f>SUMIFS(BasilRadata[Heltidsplasser
0-2],BasilRadata[År],'0. Oppsett'!$C$8,BasilRadata[1B. Organisasjonsnummer:],$C210)</f>
        <v>0</v>
      </c>
      <c r="F210" s="25">
        <f>'4. Selvkost og satser'!$B$54</f>
        <v>288170.9461329499</v>
      </c>
      <c r="G210" s="19">
        <f>SUMIFS(BasilRadata[Heltidsplasser
3-6],BasilRadata[År],'0. Oppsett'!$C$8,BasilRadata[1B. Organisasjonsnummer:],$C210)</f>
        <v>0</v>
      </c>
      <c r="H210" s="25">
        <f>'4. Selvkost og satser'!$B$55</f>
        <v>156604.23359926464</v>
      </c>
      <c r="I210" s="26">
        <f t="shared" si="13"/>
        <v>0</v>
      </c>
      <c r="J210" s="20">
        <f>SUMIFS(BasilRadata[8E. Oppgi antall årsverk barnehagen har pensjonsforpliktelser for:],'1. BASIL-rådata'!$I$3:$I$500,'X. Satser pensjonstilskudd'!$C210,BasilRadata[År],'0. Oppsett'!$C$8)</f>
        <v>0</v>
      </c>
      <c r="K210" s="30">
        <f>IFERROR(IF(OR(#REF!="",#REF!=""),0,J210*#REF!*#REF!*(1+'0. Oppsett'!$C$11)),0)</f>
        <v>0</v>
      </c>
      <c r="L210" s="95">
        <f t="shared" si="14"/>
        <v>0</v>
      </c>
      <c r="M210" s="31">
        <f t="shared" si="15"/>
        <v>0</v>
      </c>
      <c r="N210" s="32">
        <f>IFERROR(M210*'0. Oppsett'!$C$30,0)</f>
        <v>0</v>
      </c>
      <c r="O210" s="33">
        <v>0</v>
      </c>
      <c r="P210" s="142"/>
      <c r="Q210" s="142"/>
      <c r="R210" s="142"/>
      <c r="S210" s="142">
        <v>0</v>
      </c>
      <c r="T210" s="33">
        <v>0</v>
      </c>
      <c r="U210" s="34">
        <v>0</v>
      </c>
      <c r="V210" s="35">
        <f t="shared" si="16"/>
        <v>0</v>
      </c>
    </row>
    <row r="211" spans="1:22" ht="15.75" thickBot="1" x14ac:dyDescent="0.3">
      <c r="A211" s="17">
        <v>207</v>
      </c>
      <c r="B211" s="150">
        <f>'X. Satser pensjonstilskudd'!B211</f>
        <v>0</v>
      </c>
      <c r="C211" s="18">
        <f>'X. Satser pensjonstilskudd'!C211</f>
        <v>0</v>
      </c>
      <c r="D211" s="18" t="str">
        <f>IFERROR(_xlfn.XLOOKUP($C211,factPensjon[Virksomhetsnr.],factPensjon[Forpliktelser]),"")</f>
        <v/>
      </c>
      <c r="E211" s="19">
        <f>SUMIFS(BasilRadata[Heltidsplasser
0-2],BasilRadata[År],'0. Oppsett'!$C$8,BasilRadata[1B. Organisasjonsnummer:],$C211)</f>
        <v>0</v>
      </c>
      <c r="F211" s="25">
        <f>'4. Selvkost og satser'!$B$54</f>
        <v>288170.9461329499</v>
      </c>
      <c r="G211" s="19">
        <f>SUMIFS(BasilRadata[Heltidsplasser
3-6],BasilRadata[År],'0. Oppsett'!$C$8,BasilRadata[1B. Organisasjonsnummer:],$C211)</f>
        <v>0</v>
      </c>
      <c r="H211" s="25">
        <f>'4. Selvkost og satser'!$B$55</f>
        <v>156604.23359926464</v>
      </c>
      <c r="I211" s="26">
        <f t="shared" si="13"/>
        <v>0</v>
      </c>
      <c r="J211" s="20">
        <f>SUMIFS(BasilRadata[8E. Oppgi antall årsverk barnehagen har pensjonsforpliktelser for:],'1. BASIL-rådata'!$I$3:$I$500,'X. Satser pensjonstilskudd'!$C211,BasilRadata[År],'0. Oppsett'!$C$8)</f>
        <v>0</v>
      </c>
      <c r="K211" s="30">
        <f>IFERROR(IF(OR(#REF!="",#REF!=""),0,J211*#REF!*#REF!*(1+'0. Oppsett'!$C$11)),0)</f>
        <v>0</v>
      </c>
      <c r="L211" s="95">
        <f t="shared" si="14"/>
        <v>0</v>
      </c>
      <c r="M211" s="31">
        <f t="shared" si="15"/>
        <v>0</v>
      </c>
      <c r="N211" s="32">
        <f>IFERROR(M211*'0. Oppsett'!$C$30,0)</f>
        <v>0</v>
      </c>
      <c r="O211" s="33">
        <v>0</v>
      </c>
      <c r="P211" s="142"/>
      <c r="Q211" s="142"/>
      <c r="R211" s="142"/>
      <c r="S211" s="142">
        <v>0</v>
      </c>
      <c r="T211" s="33">
        <v>0</v>
      </c>
      <c r="U211" s="34">
        <v>0</v>
      </c>
      <c r="V211" s="35">
        <f t="shared" si="16"/>
        <v>0</v>
      </c>
    </row>
    <row r="212" spans="1:22" ht="15.75" thickBot="1" x14ac:dyDescent="0.3">
      <c r="A212" s="21">
        <v>208</v>
      </c>
      <c r="B212" s="150">
        <f>'X. Satser pensjonstilskudd'!B212</f>
        <v>0</v>
      </c>
      <c r="C212" s="18">
        <f>'X. Satser pensjonstilskudd'!C212</f>
        <v>0</v>
      </c>
      <c r="D212" s="18" t="str">
        <f>IFERROR(_xlfn.XLOOKUP($C212,factPensjon[Virksomhetsnr.],factPensjon[Forpliktelser]),"")</f>
        <v/>
      </c>
      <c r="E212" s="19">
        <f>SUMIFS(BasilRadata[Heltidsplasser
0-2],BasilRadata[År],'0. Oppsett'!$C$8,BasilRadata[1B. Organisasjonsnummer:],$C212)</f>
        <v>0</v>
      </c>
      <c r="F212" s="25">
        <f>'4. Selvkost og satser'!$B$54</f>
        <v>288170.9461329499</v>
      </c>
      <c r="G212" s="19">
        <f>SUMIFS(BasilRadata[Heltidsplasser
3-6],BasilRadata[År],'0. Oppsett'!$C$8,BasilRadata[1B. Organisasjonsnummer:],$C212)</f>
        <v>0</v>
      </c>
      <c r="H212" s="25">
        <f>'4. Selvkost og satser'!$B$55</f>
        <v>156604.23359926464</v>
      </c>
      <c r="I212" s="26">
        <f t="shared" si="13"/>
        <v>0</v>
      </c>
      <c r="J212" s="20">
        <f>SUMIFS(BasilRadata[8E. Oppgi antall årsverk barnehagen har pensjonsforpliktelser for:],'1. BASIL-rådata'!$I$3:$I$500,'X. Satser pensjonstilskudd'!$C212,BasilRadata[År],'0. Oppsett'!$C$8)</f>
        <v>0</v>
      </c>
      <c r="K212" s="30">
        <f>IFERROR(IF(OR(#REF!="",#REF!=""),0,J212*#REF!*#REF!*(1+'0. Oppsett'!$C$11)),0)</f>
        <v>0</v>
      </c>
      <c r="L212" s="95">
        <f t="shared" si="14"/>
        <v>0</v>
      </c>
      <c r="M212" s="31">
        <f t="shared" si="15"/>
        <v>0</v>
      </c>
      <c r="N212" s="32">
        <f>IFERROR(M212*'0. Oppsett'!$C$30,0)</f>
        <v>0</v>
      </c>
      <c r="O212" s="33">
        <v>0</v>
      </c>
      <c r="P212" s="142"/>
      <c r="Q212" s="142"/>
      <c r="R212" s="142"/>
      <c r="S212" s="142">
        <v>0</v>
      </c>
      <c r="T212" s="33">
        <v>0</v>
      </c>
      <c r="U212" s="34">
        <v>0</v>
      </c>
      <c r="V212" s="35">
        <f t="shared" si="16"/>
        <v>0</v>
      </c>
    </row>
    <row r="213" spans="1:22" ht="15.75" thickBot="1" x14ac:dyDescent="0.3">
      <c r="A213" s="17">
        <v>209</v>
      </c>
      <c r="B213" s="150">
        <f>'X. Satser pensjonstilskudd'!B213</f>
        <v>0</v>
      </c>
      <c r="C213" s="18">
        <f>'X. Satser pensjonstilskudd'!C213</f>
        <v>0</v>
      </c>
      <c r="D213" s="18" t="str">
        <f>IFERROR(_xlfn.XLOOKUP($C213,factPensjon[Virksomhetsnr.],factPensjon[Forpliktelser]),"")</f>
        <v/>
      </c>
      <c r="E213" s="19">
        <f>SUMIFS(BasilRadata[Heltidsplasser
0-2],BasilRadata[År],'0. Oppsett'!$C$8,BasilRadata[1B. Organisasjonsnummer:],$C213)</f>
        <v>0</v>
      </c>
      <c r="F213" s="25">
        <f>'4. Selvkost og satser'!$B$54</f>
        <v>288170.9461329499</v>
      </c>
      <c r="G213" s="19">
        <f>SUMIFS(BasilRadata[Heltidsplasser
3-6],BasilRadata[År],'0. Oppsett'!$C$8,BasilRadata[1B. Organisasjonsnummer:],$C213)</f>
        <v>0</v>
      </c>
      <c r="H213" s="25">
        <f>'4. Selvkost og satser'!$B$55</f>
        <v>156604.23359926464</v>
      </c>
      <c r="I213" s="26">
        <f t="shared" si="13"/>
        <v>0</v>
      </c>
      <c r="J213" s="20">
        <f>SUMIFS(BasilRadata[8E. Oppgi antall årsverk barnehagen har pensjonsforpliktelser for:],'1. BASIL-rådata'!$I$3:$I$500,'X. Satser pensjonstilskudd'!$C213,BasilRadata[År],'0. Oppsett'!$C$8)</f>
        <v>0</v>
      </c>
      <c r="K213" s="30">
        <f>IFERROR(IF(OR(#REF!="",#REF!=""),0,J213*#REF!*#REF!*(1+'0. Oppsett'!$C$11)),0)</f>
        <v>0</v>
      </c>
      <c r="L213" s="95">
        <f t="shared" si="14"/>
        <v>0</v>
      </c>
      <c r="M213" s="31">
        <f t="shared" si="15"/>
        <v>0</v>
      </c>
      <c r="N213" s="32">
        <f>IFERROR(M213*'0. Oppsett'!$C$30,0)</f>
        <v>0</v>
      </c>
      <c r="O213" s="33">
        <v>0</v>
      </c>
      <c r="P213" s="142"/>
      <c r="Q213" s="142"/>
      <c r="R213" s="142"/>
      <c r="S213" s="142">
        <v>0</v>
      </c>
      <c r="T213" s="33">
        <v>0</v>
      </c>
      <c r="U213" s="34">
        <v>0</v>
      </c>
      <c r="V213" s="35">
        <f t="shared" si="16"/>
        <v>0</v>
      </c>
    </row>
    <row r="214" spans="1:22" ht="15.75" thickBot="1" x14ac:dyDescent="0.3">
      <c r="A214" s="21">
        <v>210</v>
      </c>
      <c r="B214" s="150">
        <f>'X. Satser pensjonstilskudd'!B214</f>
        <v>0</v>
      </c>
      <c r="C214" s="18">
        <f>'X. Satser pensjonstilskudd'!C214</f>
        <v>0</v>
      </c>
      <c r="D214" s="18" t="str">
        <f>IFERROR(_xlfn.XLOOKUP($C214,factPensjon[Virksomhetsnr.],factPensjon[Forpliktelser]),"")</f>
        <v/>
      </c>
      <c r="E214" s="19">
        <f>SUMIFS(BasilRadata[Heltidsplasser
0-2],BasilRadata[År],'0. Oppsett'!$C$8,BasilRadata[1B. Organisasjonsnummer:],$C214)</f>
        <v>0</v>
      </c>
      <c r="F214" s="25">
        <f>'4. Selvkost og satser'!$B$54</f>
        <v>288170.9461329499</v>
      </c>
      <c r="G214" s="19">
        <f>SUMIFS(BasilRadata[Heltidsplasser
3-6],BasilRadata[År],'0. Oppsett'!$C$8,BasilRadata[1B. Organisasjonsnummer:],$C214)</f>
        <v>0</v>
      </c>
      <c r="H214" s="25">
        <f>'4. Selvkost og satser'!$B$55</f>
        <v>156604.23359926464</v>
      </c>
      <c r="I214" s="26">
        <f t="shared" si="13"/>
        <v>0</v>
      </c>
      <c r="J214" s="20">
        <f>SUMIFS(BasilRadata[8E. Oppgi antall årsverk barnehagen har pensjonsforpliktelser for:],'1. BASIL-rådata'!$I$3:$I$500,'X. Satser pensjonstilskudd'!$C214,BasilRadata[År],'0. Oppsett'!$C$8)</f>
        <v>0</v>
      </c>
      <c r="K214" s="30">
        <f>IFERROR(IF(OR(#REF!="",#REF!=""),0,J214*#REF!*#REF!*(1+'0. Oppsett'!$C$11)),0)</f>
        <v>0</v>
      </c>
      <c r="L214" s="95">
        <f t="shared" si="14"/>
        <v>0</v>
      </c>
      <c r="M214" s="31">
        <f t="shared" si="15"/>
        <v>0</v>
      </c>
      <c r="N214" s="32">
        <f>IFERROR(M214*'0. Oppsett'!$C$30,0)</f>
        <v>0</v>
      </c>
      <c r="O214" s="33">
        <v>0</v>
      </c>
      <c r="P214" s="142"/>
      <c r="Q214" s="142"/>
      <c r="R214" s="142"/>
      <c r="S214" s="142">
        <v>0</v>
      </c>
      <c r="T214" s="33">
        <v>0</v>
      </c>
      <c r="U214" s="34">
        <v>0</v>
      </c>
      <c r="V214" s="35">
        <f t="shared" si="16"/>
        <v>0</v>
      </c>
    </row>
    <row r="215" spans="1:22" ht="15.75" thickBot="1" x14ac:dyDescent="0.3">
      <c r="A215" s="17">
        <v>211</v>
      </c>
      <c r="B215" s="150">
        <f>'X. Satser pensjonstilskudd'!B215</f>
        <v>0</v>
      </c>
      <c r="C215" s="18">
        <f>'X. Satser pensjonstilskudd'!C215</f>
        <v>0</v>
      </c>
      <c r="D215" s="18" t="str">
        <f>IFERROR(_xlfn.XLOOKUP($C215,factPensjon[Virksomhetsnr.],factPensjon[Forpliktelser]),"")</f>
        <v/>
      </c>
      <c r="E215" s="19">
        <f>SUMIFS(BasilRadata[Heltidsplasser
0-2],BasilRadata[År],'0. Oppsett'!$C$8,BasilRadata[1B. Organisasjonsnummer:],$C215)</f>
        <v>0</v>
      </c>
      <c r="F215" s="25">
        <f>'4. Selvkost og satser'!$B$54</f>
        <v>288170.9461329499</v>
      </c>
      <c r="G215" s="19">
        <f>SUMIFS(BasilRadata[Heltidsplasser
3-6],BasilRadata[År],'0. Oppsett'!$C$8,BasilRadata[1B. Organisasjonsnummer:],$C215)</f>
        <v>0</v>
      </c>
      <c r="H215" s="25">
        <f>'4. Selvkost og satser'!$B$55</f>
        <v>156604.23359926464</v>
      </c>
      <c r="I215" s="26">
        <f t="shared" si="13"/>
        <v>0</v>
      </c>
      <c r="J215" s="20">
        <f>SUMIFS(BasilRadata[8E. Oppgi antall årsverk barnehagen har pensjonsforpliktelser for:],'1. BASIL-rådata'!$I$3:$I$500,'X. Satser pensjonstilskudd'!$C215,BasilRadata[År],'0. Oppsett'!$C$8)</f>
        <v>0</v>
      </c>
      <c r="K215" s="30">
        <f>IFERROR(IF(OR(#REF!="",#REF!=""),0,J215*#REF!*#REF!*(1+'0. Oppsett'!$C$11)),0)</f>
        <v>0</v>
      </c>
      <c r="L215" s="95">
        <f t="shared" si="14"/>
        <v>0</v>
      </c>
      <c r="M215" s="31">
        <f t="shared" si="15"/>
        <v>0</v>
      </c>
      <c r="N215" s="32">
        <f>IFERROR(M215*'0. Oppsett'!$C$30,0)</f>
        <v>0</v>
      </c>
      <c r="O215" s="33">
        <v>0</v>
      </c>
      <c r="P215" s="142"/>
      <c r="Q215" s="142"/>
      <c r="R215" s="142"/>
      <c r="S215" s="142">
        <v>0</v>
      </c>
      <c r="T215" s="33">
        <v>0</v>
      </c>
      <c r="U215" s="34">
        <v>0</v>
      </c>
      <c r="V215" s="35">
        <f t="shared" si="16"/>
        <v>0</v>
      </c>
    </row>
    <row r="216" spans="1:22" ht="15.75" thickBot="1" x14ac:dyDescent="0.3">
      <c r="A216" s="21">
        <v>212</v>
      </c>
      <c r="B216" s="150">
        <f>'X. Satser pensjonstilskudd'!B216</f>
        <v>0</v>
      </c>
      <c r="C216" s="18">
        <f>'X. Satser pensjonstilskudd'!C216</f>
        <v>0</v>
      </c>
      <c r="D216" s="18" t="str">
        <f>IFERROR(_xlfn.XLOOKUP($C216,factPensjon[Virksomhetsnr.],factPensjon[Forpliktelser]),"")</f>
        <v/>
      </c>
      <c r="E216" s="19">
        <f>SUMIFS(BasilRadata[Heltidsplasser
0-2],BasilRadata[År],'0. Oppsett'!$C$8,BasilRadata[1B. Organisasjonsnummer:],$C216)</f>
        <v>0</v>
      </c>
      <c r="F216" s="25">
        <f>'4. Selvkost og satser'!$B$54</f>
        <v>288170.9461329499</v>
      </c>
      <c r="G216" s="19">
        <f>SUMIFS(BasilRadata[Heltidsplasser
3-6],BasilRadata[År],'0. Oppsett'!$C$8,BasilRadata[1B. Organisasjonsnummer:],$C216)</f>
        <v>0</v>
      </c>
      <c r="H216" s="25">
        <f>'4. Selvkost og satser'!$B$55</f>
        <v>156604.23359926464</v>
      </c>
      <c r="I216" s="26">
        <f t="shared" si="13"/>
        <v>0</v>
      </c>
      <c r="J216" s="20">
        <f>SUMIFS(BasilRadata[8E. Oppgi antall årsverk barnehagen har pensjonsforpliktelser for:],'1. BASIL-rådata'!$I$3:$I$500,'X. Satser pensjonstilskudd'!$C216,BasilRadata[År],'0. Oppsett'!$C$8)</f>
        <v>0</v>
      </c>
      <c r="K216" s="30">
        <f>IFERROR(IF(OR(#REF!="",#REF!=""),0,J216*#REF!*#REF!*(1+'0. Oppsett'!$C$11)),0)</f>
        <v>0</v>
      </c>
      <c r="L216" s="95">
        <f t="shared" si="14"/>
        <v>0</v>
      </c>
      <c r="M216" s="31">
        <f t="shared" si="15"/>
        <v>0</v>
      </c>
      <c r="N216" s="32">
        <f>IFERROR(M216*'0. Oppsett'!$C$30,0)</f>
        <v>0</v>
      </c>
      <c r="O216" s="33">
        <v>0</v>
      </c>
      <c r="P216" s="142"/>
      <c r="Q216" s="142"/>
      <c r="R216" s="142"/>
      <c r="S216" s="142">
        <v>0</v>
      </c>
      <c r="T216" s="33">
        <v>0</v>
      </c>
      <c r="U216" s="34">
        <v>0</v>
      </c>
      <c r="V216" s="35">
        <f t="shared" si="16"/>
        <v>0</v>
      </c>
    </row>
    <row r="217" spans="1:22" ht="15.75" thickBot="1" x14ac:dyDescent="0.3">
      <c r="A217" s="17">
        <v>213</v>
      </c>
      <c r="B217" s="150">
        <f>'X. Satser pensjonstilskudd'!B217</f>
        <v>0</v>
      </c>
      <c r="C217" s="18">
        <f>'X. Satser pensjonstilskudd'!C217</f>
        <v>0</v>
      </c>
      <c r="D217" s="18" t="str">
        <f>IFERROR(_xlfn.XLOOKUP($C217,factPensjon[Virksomhetsnr.],factPensjon[Forpliktelser]),"")</f>
        <v/>
      </c>
      <c r="E217" s="19">
        <f>SUMIFS(BasilRadata[Heltidsplasser
0-2],BasilRadata[År],'0. Oppsett'!$C$8,BasilRadata[1B. Organisasjonsnummer:],$C217)</f>
        <v>0</v>
      </c>
      <c r="F217" s="25">
        <f>'4. Selvkost og satser'!$B$54</f>
        <v>288170.9461329499</v>
      </c>
      <c r="G217" s="19">
        <f>SUMIFS(BasilRadata[Heltidsplasser
3-6],BasilRadata[År],'0. Oppsett'!$C$8,BasilRadata[1B. Organisasjonsnummer:],$C217)</f>
        <v>0</v>
      </c>
      <c r="H217" s="25">
        <f>'4. Selvkost og satser'!$B$55</f>
        <v>156604.23359926464</v>
      </c>
      <c r="I217" s="26">
        <f t="shared" si="13"/>
        <v>0</v>
      </c>
      <c r="J217" s="20">
        <f>SUMIFS(BasilRadata[8E. Oppgi antall årsverk barnehagen har pensjonsforpliktelser for:],'1. BASIL-rådata'!$I$3:$I$500,'X. Satser pensjonstilskudd'!$C217,BasilRadata[År],'0. Oppsett'!$C$8)</f>
        <v>0</v>
      </c>
      <c r="K217" s="30">
        <f>IFERROR(IF(OR(#REF!="",#REF!=""),0,J217*#REF!*#REF!*(1+'0. Oppsett'!$C$11)),0)</f>
        <v>0</v>
      </c>
      <c r="L217" s="95">
        <f t="shared" si="14"/>
        <v>0</v>
      </c>
      <c r="M217" s="31">
        <f t="shared" si="15"/>
        <v>0</v>
      </c>
      <c r="N217" s="32">
        <f>IFERROR(M217*'0. Oppsett'!$C$30,0)</f>
        <v>0</v>
      </c>
      <c r="O217" s="33">
        <v>0</v>
      </c>
      <c r="P217" s="142"/>
      <c r="Q217" s="142"/>
      <c r="R217" s="142"/>
      <c r="S217" s="142">
        <v>0</v>
      </c>
      <c r="T217" s="33">
        <v>0</v>
      </c>
      <c r="U217" s="34">
        <v>0</v>
      </c>
      <c r="V217" s="35">
        <f t="shared" si="16"/>
        <v>0</v>
      </c>
    </row>
    <row r="218" spans="1:22" ht="15.75" thickBot="1" x14ac:dyDescent="0.3">
      <c r="A218" s="21">
        <v>214</v>
      </c>
      <c r="B218" s="150">
        <f>'X. Satser pensjonstilskudd'!B218</f>
        <v>0</v>
      </c>
      <c r="C218" s="18">
        <f>'X. Satser pensjonstilskudd'!C218</f>
        <v>0</v>
      </c>
      <c r="D218" s="18" t="str">
        <f>IFERROR(_xlfn.XLOOKUP($C218,factPensjon[Virksomhetsnr.],factPensjon[Forpliktelser]),"")</f>
        <v/>
      </c>
      <c r="E218" s="19">
        <f>SUMIFS(BasilRadata[Heltidsplasser
0-2],BasilRadata[År],'0. Oppsett'!$C$8,BasilRadata[1B. Organisasjonsnummer:],$C218)</f>
        <v>0</v>
      </c>
      <c r="F218" s="25">
        <f>'4. Selvkost og satser'!$B$54</f>
        <v>288170.9461329499</v>
      </c>
      <c r="G218" s="19">
        <f>SUMIFS(BasilRadata[Heltidsplasser
3-6],BasilRadata[År],'0. Oppsett'!$C$8,BasilRadata[1B. Organisasjonsnummer:],$C218)</f>
        <v>0</v>
      </c>
      <c r="H218" s="25">
        <f>'4. Selvkost og satser'!$B$55</f>
        <v>156604.23359926464</v>
      </c>
      <c r="I218" s="26">
        <f t="shared" si="13"/>
        <v>0</v>
      </c>
      <c r="J218" s="20">
        <f>SUMIFS(BasilRadata[8E. Oppgi antall årsverk barnehagen har pensjonsforpliktelser for:],'1. BASIL-rådata'!$I$3:$I$500,'X. Satser pensjonstilskudd'!$C218,BasilRadata[År],'0. Oppsett'!$C$8)</f>
        <v>0</v>
      </c>
      <c r="K218" s="30">
        <f>IFERROR(IF(OR(#REF!="",#REF!=""),0,J218*#REF!*#REF!*(1+'0. Oppsett'!$C$11)),0)</f>
        <v>0</v>
      </c>
      <c r="L218" s="95">
        <f t="shared" si="14"/>
        <v>0</v>
      </c>
      <c r="M218" s="31">
        <f t="shared" si="15"/>
        <v>0</v>
      </c>
      <c r="N218" s="32">
        <f>IFERROR(M218*'0. Oppsett'!$C$30,0)</f>
        <v>0</v>
      </c>
      <c r="O218" s="33">
        <v>0</v>
      </c>
      <c r="P218" s="142"/>
      <c r="Q218" s="142"/>
      <c r="R218" s="142"/>
      <c r="S218" s="142">
        <v>0</v>
      </c>
      <c r="T218" s="33">
        <v>0</v>
      </c>
      <c r="U218" s="34">
        <v>0</v>
      </c>
      <c r="V218" s="35">
        <f t="shared" si="16"/>
        <v>0</v>
      </c>
    </row>
    <row r="219" spans="1:22" ht="15.75" thickBot="1" x14ac:dyDescent="0.3">
      <c r="A219" s="17">
        <v>215</v>
      </c>
      <c r="B219" s="150">
        <f>'X. Satser pensjonstilskudd'!B219</f>
        <v>0</v>
      </c>
      <c r="C219" s="18">
        <f>'X. Satser pensjonstilskudd'!C219</f>
        <v>0</v>
      </c>
      <c r="D219" s="18" t="str">
        <f>IFERROR(_xlfn.XLOOKUP($C219,factPensjon[Virksomhetsnr.],factPensjon[Forpliktelser]),"")</f>
        <v/>
      </c>
      <c r="E219" s="19">
        <f>SUMIFS(BasilRadata[Heltidsplasser
0-2],BasilRadata[År],'0. Oppsett'!$C$8,BasilRadata[1B. Organisasjonsnummer:],$C219)</f>
        <v>0</v>
      </c>
      <c r="F219" s="25">
        <f>'4. Selvkost og satser'!$B$54</f>
        <v>288170.9461329499</v>
      </c>
      <c r="G219" s="19">
        <f>SUMIFS(BasilRadata[Heltidsplasser
3-6],BasilRadata[År],'0. Oppsett'!$C$8,BasilRadata[1B. Organisasjonsnummer:],$C219)</f>
        <v>0</v>
      </c>
      <c r="H219" s="25">
        <f>'4. Selvkost og satser'!$B$55</f>
        <v>156604.23359926464</v>
      </c>
      <c r="I219" s="26">
        <f t="shared" si="13"/>
        <v>0</v>
      </c>
      <c r="J219" s="20">
        <f>SUMIFS(BasilRadata[8E. Oppgi antall årsverk barnehagen har pensjonsforpliktelser for:],'1. BASIL-rådata'!$I$3:$I$500,'X. Satser pensjonstilskudd'!$C219,BasilRadata[År],'0. Oppsett'!$C$8)</f>
        <v>0</v>
      </c>
      <c r="K219" s="30">
        <f>IFERROR(IF(OR(#REF!="",#REF!=""),0,J219*#REF!*#REF!*(1+'0. Oppsett'!$C$11)),0)</f>
        <v>0</v>
      </c>
      <c r="L219" s="95">
        <f t="shared" si="14"/>
        <v>0</v>
      </c>
      <c r="M219" s="31">
        <f t="shared" si="15"/>
        <v>0</v>
      </c>
      <c r="N219" s="32">
        <f>IFERROR(M219*'0. Oppsett'!$C$30,0)</f>
        <v>0</v>
      </c>
      <c r="O219" s="33">
        <v>0</v>
      </c>
      <c r="P219" s="142"/>
      <c r="Q219" s="142"/>
      <c r="R219" s="142"/>
      <c r="S219" s="142">
        <v>0</v>
      </c>
      <c r="T219" s="33">
        <v>0</v>
      </c>
      <c r="U219" s="34">
        <v>0</v>
      </c>
      <c r="V219" s="35">
        <f t="shared" si="16"/>
        <v>0</v>
      </c>
    </row>
    <row r="220" spans="1:22" ht="15.75" thickBot="1" x14ac:dyDescent="0.3">
      <c r="A220" s="21">
        <v>216</v>
      </c>
      <c r="B220" s="150">
        <f>'X. Satser pensjonstilskudd'!B220</f>
        <v>0</v>
      </c>
      <c r="C220" s="18">
        <f>'X. Satser pensjonstilskudd'!C220</f>
        <v>0</v>
      </c>
      <c r="D220" s="18" t="str">
        <f>IFERROR(_xlfn.XLOOKUP($C220,factPensjon[Virksomhetsnr.],factPensjon[Forpliktelser]),"")</f>
        <v/>
      </c>
      <c r="E220" s="19">
        <f>SUMIFS(BasilRadata[Heltidsplasser
0-2],BasilRadata[År],'0. Oppsett'!$C$8,BasilRadata[1B. Organisasjonsnummer:],$C220)</f>
        <v>0</v>
      </c>
      <c r="F220" s="25">
        <f>'4. Selvkost og satser'!$B$54</f>
        <v>288170.9461329499</v>
      </c>
      <c r="G220" s="19">
        <f>SUMIFS(BasilRadata[Heltidsplasser
3-6],BasilRadata[År],'0. Oppsett'!$C$8,BasilRadata[1B. Organisasjonsnummer:],$C220)</f>
        <v>0</v>
      </c>
      <c r="H220" s="25">
        <f>'4. Selvkost og satser'!$B$55</f>
        <v>156604.23359926464</v>
      </c>
      <c r="I220" s="26">
        <f t="shared" si="13"/>
        <v>0</v>
      </c>
      <c r="J220" s="20">
        <f>SUMIFS(BasilRadata[8E. Oppgi antall årsverk barnehagen har pensjonsforpliktelser for:],'1. BASIL-rådata'!$I$3:$I$500,'X. Satser pensjonstilskudd'!$C220,BasilRadata[År],'0. Oppsett'!$C$8)</f>
        <v>0</v>
      </c>
      <c r="K220" s="30">
        <f>IFERROR(IF(OR(#REF!="",#REF!=""),0,J220*#REF!*#REF!*(1+'0. Oppsett'!$C$11)),0)</f>
        <v>0</v>
      </c>
      <c r="L220" s="95">
        <f t="shared" si="14"/>
        <v>0</v>
      </c>
      <c r="M220" s="31">
        <f t="shared" si="15"/>
        <v>0</v>
      </c>
      <c r="N220" s="32">
        <f>IFERROR(M220*'0. Oppsett'!$C$30,0)</f>
        <v>0</v>
      </c>
      <c r="O220" s="33">
        <v>0</v>
      </c>
      <c r="P220" s="142"/>
      <c r="Q220" s="142"/>
      <c r="R220" s="142"/>
      <c r="S220" s="142">
        <v>0</v>
      </c>
      <c r="T220" s="33">
        <v>0</v>
      </c>
      <c r="U220" s="34">
        <v>0</v>
      </c>
      <c r="V220" s="35">
        <f t="shared" si="16"/>
        <v>0</v>
      </c>
    </row>
    <row r="221" spans="1:22" ht="15.75" thickBot="1" x14ac:dyDescent="0.3">
      <c r="A221" s="17">
        <v>217</v>
      </c>
      <c r="B221" s="150">
        <f>'X. Satser pensjonstilskudd'!B221</f>
        <v>0</v>
      </c>
      <c r="C221" s="18">
        <f>'X. Satser pensjonstilskudd'!C221</f>
        <v>0</v>
      </c>
      <c r="D221" s="18" t="str">
        <f>IFERROR(_xlfn.XLOOKUP($C221,factPensjon[Virksomhetsnr.],factPensjon[Forpliktelser]),"")</f>
        <v/>
      </c>
      <c r="E221" s="19">
        <f>SUMIFS(BasilRadata[Heltidsplasser
0-2],BasilRadata[År],'0. Oppsett'!$C$8,BasilRadata[1B. Organisasjonsnummer:],$C221)</f>
        <v>0</v>
      </c>
      <c r="F221" s="25">
        <f>'4. Selvkost og satser'!$B$54</f>
        <v>288170.9461329499</v>
      </c>
      <c r="G221" s="19">
        <f>SUMIFS(BasilRadata[Heltidsplasser
3-6],BasilRadata[År],'0. Oppsett'!$C$8,BasilRadata[1B. Organisasjonsnummer:],$C221)</f>
        <v>0</v>
      </c>
      <c r="H221" s="25">
        <f>'4. Selvkost og satser'!$B$55</f>
        <v>156604.23359926464</v>
      </c>
      <c r="I221" s="26">
        <f t="shared" si="13"/>
        <v>0</v>
      </c>
      <c r="J221" s="20">
        <f>SUMIFS(BasilRadata[8E. Oppgi antall årsverk barnehagen har pensjonsforpliktelser for:],'1. BASIL-rådata'!$I$3:$I$500,'X. Satser pensjonstilskudd'!$C221,BasilRadata[År],'0. Oppsett'!$C$8)</f>
        <v>0</v>
      </c>
      <c r="K221" s="30">
        <f>IFERROR(IF(OR(#REF!="",#REF!=""),0,J221*#REF!*#REF!*(1+'0. Oppsett'!$C$11)),0)</f>
        <v>0</v>
      </c>
      <c r="L221" s="95">
        <f t="shared" si="14"/>
        <v>0</v>
      </c>
      <c r="M221" s="31">
        <f t="shared" si="15"/>
        <v>0</v>
      </c>
      <c r="N221" s="32">
        <f>IFERROR(M221*'0. Oppsett'!$C$30,0)</f>
        <v>0</v>
      </c>
      <c r="O221" s="33">
        <v>0</v>
      </c>
      <c r="P221" s="142"/>
      <c r="Q221" s="142"/>
      <c r="R221" s="142"/>
      <c r="S221" s="142">
        <v>0</v>
      </c>
      <c r="T221" s="33">
        <v>0</v>
      </c>
      <c r="U221" s="34">
        <v>0</v>
      </c>
      <c r="V221" s="35">
        <f t="shared" si="16"/>
        <v>0</v>
      </c>
    </row>
    <row r="222" spans="1:22" ht="15.75" thickBot="1" x14ac:dyDescent="0.3">
      <c r="A222" s="21">
        <v>218</v>
      </c>
      <c r="B222" s="150">
        <f>'X. Satser pensjonstilskudd'!B222</f>
        <v>0</v>
      </c>
      <c r="C222" s="18">
        <f>'X. Satser pensjonstilskudd'!C222</f>
        <v>0</v>
      </c>
      <c r="D222" s="18" t="str">
        <f>IFERROR(_xlfn.XLOOKUP($C222,factPensjon[Virksomhetsnr.],factPensjon[Forpliktelser]),"")</f>
        <v/>
      </c>
      <c r="E222" s="19">
        <f>SUMIFS(BasilRadata[Heltidsplasser
0-2],BasilRadata[År],'0. Oppsett'!$C$8,BasilRadata[1B. Organisasjonsnummer:],$C222)</f>
        <v>0</v>
      </c>
      <c r="F222" s="25">
        <f>'4. Selvkost og satser'!$B$54</f>
        <v>288170.9461329499</v>
      </c>
      <c r="G222" s="19">
        <f>SUMIFS(BasilRadata[Heltidsplasser
3-6],BasilRadata[År],'0. Oppsett'!$C$8,BasilRadata[1B. Organisasjonsnummer:],$C222)</f>
        <v>0</v>
      </c>
      <c r="H222" s="25">
        <f>'4. Selvkost og satser'!$B$55</f>
        <v>156604.23359926464</v>
      </c>
      <c r="I222" s="26">
        <f t="shared" si="13"/>
        <v>0</v>
      </c>
      <c r="J222" s="20">
        <f>SUMIFS(BasilRadata[8E. Oppgi antall årsverk barnehagen har pensjonsforpliktelser for:],'1. BASIL-rådata'!$I$3:$I$500,'X. Satser pensjonstilskudd'!$C222,BasilRadata[År],'0. Oppsett'!$C$8)</f>
        <v>0</v>
      </c>
      <c r="K222" s="30">
        <f>IFERROR(IF(OR(#REF!="",#REF!=""),0,J222*#REF!*#REF!*(1+'0. Oppsett'!$C$11)),0)</f>
        <v>0</v>
      </c>
      <c r="L222" s="95">
        <f t="shared" si="14"/>
        <v>0</v>
      </c>
      <c r="M222" s="31">
        <f t="shared" si="15"/>
        <v>0</v>
      </c>
      <c r="N222" s="32">
        <f>IFERROR(M222*'0. Oppsett'!$C$30,0)</f>
        <v>0</v>
      </c>
      <c r="O222" s="33">
        <v>0</v>
      </c>
      <c r="P222" s="142"/>
      <c r="Q222" s="142"/>
      <c r="R222" s="142"/>
      <c r="S222" s="142">
        <v>0</v>
      </c>
      <c r="T222" s="33">
        <v>0</v>
      </c>
      <c r="U222" s="34">
        <v>0</v>
      </c>
      <c r="V222" s="35">
        <f t="shared" si="16"/>
        <v>0</v>
      </c>
    </row>
    <row r="223" spans="1:22" ht="15.75" thickBot="1" x14ac:dyDescent="0.3">
      <c r="A223" s="17">
        <v>219</v>
      </c>
      <c r="B223" s="150">
        <f>'X. Satser pensjonstilskudd'!B223</f>
        <v>0</v>
      </c>
      <c r="C223" s="18">
        <f>'X. Satser pensjonstilskudd'!C223</f>
        <v>0</v>
      </c>
      <c r="D223" s="18" t="str">
        <f>IFERROR(_xlfn.XLOOKUP($C223,factPensjon[Virksomhetsnr.],factPensjon[Forpliktelser]),"")</f>
        <v/>
      </c>
      <c r="E223" s="19">
        <f>SUMIFS(BasilRadata[Heltidsplasser
0-2],BasilRadata[År],'0. Oppsett'!$C$8,BasilRadata[1B. Organisasjonsnummer:],$C223)</f>
        <v>0</v>
      </c>
      <c r="F223" s="25">
        <f>'4. Selvkost og satser'!$B$54</f>
        <v>288170.9461329499</v>
      </c>
      <c r="G223" s="19">
        <f>SUMIFS(BasilRadata[Heltidsplasser
3-6],BasilRadata[År],'0. Oppsett'!$C$8,BasilRadata[1B. Organisasjonsnummer:],$C223)</f>
        <v>0</v>
      </c>
      <c r="H223" s="25">
        <f>'4. Selvkost og satser'!$B$55</f>
        <v>156604.23359926464</v>
      </c>
      <c r="I223" s="26">
        <f t="shared" si="13"/>
        <v>0</v>
      </c>
      <c r="J223" s="20">
        <f>SUMIFS(BasilRadata[8E. Oppgi antall årsverk barnehagen har pensjonsforpliktelser for:],'1. BASIL-rådata'!$I$3:$I$500,'X. Satser pensjonstilskudd'!$C223,BasilRadata[År],'0. Oppsett'!$C$8)</f>
        <v>0</v>
      </c>
      <c r="K223" s="30">
        <f>IFERROR(IF(OR(#REF!="",#REF!=""),0,J223*#REF!*#REF!*(1+'0. Oppsett'!$C$11)),0)</f>
        <v>0</v>
      </c>
      <c r="L223" s="95">
        <f t="shared" si="14"/>
        <v>0</v>
      </c>
      <c r="M223" s="31">
        <f t="shared" si="15"/>
        <v>0</v>
      </c>
      <c r="N223" s="32">
        <f>IFERROR(M223*'0. Oppsett'!$C$30,0)</f>
        <v>0</v>
      </c>
      <c r="O223" s="33">
        <v>0</v>
      </c>
      <c r="P223" s="142"/>
      <c r="Q223" s="142"/>
      <c r="R223" s="142"/>
      <c r="S223" s="142">
        <v>0</v>
      </c>
      <c r="T223" s="33">
        <v>0</v>
      </c>
      <c r="U223" s="34">
        <v>0</v>
      </c>
      <c r="V223" s="35">
        <f t="shared" si="16"/>
        <v>0</v>
      </c>
    </row>
    <row r="224" spans="1:22" ht="15.75" thickBot="1" x14ac:dyDescent="0.3">
      <c r="A224" s="21">
        <v>220</v>
      </c>
      <c r="B224" s="150">
        <f>'X. Satser pensjonstilskudd'!B224</f>
        <v>0</v>
      </c>
      <c r="C224" s="18">
        <f>'X. Satser pensjonstilskudd'!C224</f>
        <v>0</v>
      </c>
      <c r="D224" s="18" t="str">
        <f>IFERROR(_xlfn.XLOOKUP($C224,factPensjon[Virksomhetsnr.],factPensjon[Forpliktelser]),"")</f>
        <v/>
      </c>
      <c r="E224" s="19">
        <f>SUMIFS(BasilRadata[Heltidsplasser
0-2],BasilRadata[År],'0. Oppsett'!$C$8,BasilRadata[1B. Organisasjonsnummer:],$C224)</f>
        <v>0</v>
      </c>
      <c r="F224" s="25">
        <f>'4. Selvkost og satser'!$B$54</f>
        <v>288170.9461329499</v>
      </c>
      <c r="G224" s="19">
        <f>SUMIFS(BasilRadata[Heltidsplasser
3-6],BasilRadata[År],'0. Oppsett'!$C$8,BasilRadata[1B. Organisasjonsnummer:],$C224)</f>
        <v>0</v>
      </c>
      <c r="H224" s="25">
        <f>'4. Selvkost og satser'!$B$55</f>
        <v>156604.23359926464</v>
      </c>
      <c r="I224" s="26">
        <f t="shared" si="13"/>
        <v>0</v>
      </c>
      <c r="J224" s="20">
        <f>SUMIFS(BasilRadata[8E. Oppgi antall årsverk barnehagen har pensjonsforpliktelser for:],'1. BASIL-rådata'!$I$3:$I$500,'X. Satser pensjonstilskudd'!$C224,BasilRadata[År],'0. Oppsett'!$C$8)</f>
        <v>0</v>
      </c>
      <c r="K224" s="30">
        <f>IFERROR(IF(OR(#REF!="",#REF!=""),0,J224*#REF!*#REF!*(1+'0. Oppsett'!$C$11)),0)</f>
        <v>0</v>
      </c>
      <c r="L224" s="95">
        <f t="shared" si="14"/>
        <v>0</v>
      </c>
      <c r="M224" s="31">
        <f t="shared" si="15"/>
        <v>0</v>
      </c>
      <c r="N224" s="32">
        <f>IFERROR(M224*'0. Oppsett'!$C$30,0)</f>
        <v>0</v>
      </c>
      <c r="O224" s="33">
        <v>0</v>
      </c>
      <c r="P224" s="142"/>
      <c r="Q224" s="142"/>
      <c r="R224" s="142"/>
      <c r="S224" s="142">
        <v>0</v>
      </c>
      <c r="T224" s="33">
        <v>0</v>
      </c>
      <c r="U224" s="34">
        <v>0</v>
      </c>
      <c r="V224" s="35">
        <f t="shared" si="16"/>
        <v>0</v>
      </c>
    </row>
    <row r="225" spans="1:22" ht="15.75" thickBot="1" x14ac:dyDescent="0.3">
      <c r="A225" s="228" t="s">
        <v>68</v>
      </c>
      <c r="B225" s="206"/>
      <c r="C225" s="206"/>
      <c r="E225" s="37">
        <f>SUM(E5:E224)</f>
        <v>0</v>
      </c>
      <c r="F225" s="25">
        <f>'4. Selvkost og satser'!$B$54*(1+'0. Oppsett'!$C$13)*(1+'0. Oppsett'!$C$14)</f>
        <v>310185.47739183047</v>
      </c>
      <c r="G225" s="37">
        <f>SUM(G5:G224)</f>
        <v>0</v>
      </c>
      <c r="H225" s="25">
        <f>'4. Selvkost og satser'!$B$55*(1+'0. Oppsett'!$C$13)*(1+'0. Oppsett'!$C$14)</f>
        <v>168567.85742084685</v>
      </c>
      <c r="I225" s="26">
        <f t="shared" si="13"/>
        <v>0</v>
      </c>
      <c r="J225" s="20">
        <f>IFERROR('X. Satser pensjonstilskudd'!G225,0)</f>
        <v>0</v>
      </c>
      <c r="K225" s="38" t="e">
        <f>SUM(K5:K224)</f>
        <v>#DIV/0!</v>
      </c>
      <c r="L225" s="95" t="e">
        <f t="shared" si="14"/>
        <v>#DIV/0!</v>
      </c>
      <c r="M225" s="31">
        <f t="shared" si="15"/>
        <v>0</v>
      </c>
      <c r="N225" s="38">
        <f>SUM(N5:N224)</f>
        <v>0</v>
      </c>
      <c r="O225" s="38">
        <f>SUM(O5:O224)</f>
        <v>0</v>
      </c>
      <c r="P225" s="143"/>
      <c r="Q225" s="143"/>
      <c r="R225" s="143"/>
      <c r="S225" s="143">
        <f>SUM(S5:S224)</f>
        <v>0</v>
      </c>
      <c r="T225" s="38">
        <f>SUM(T5:T224)</f>
        <v>0</v>
      </c>
      <c r="U225" s="38">
        <f>SUM(U5:U224)</f>
        <v>0</v>
      </c>
      <c r="V225" s="38">
        <f>SUM(V5:V224)</f>
        <v>0</v>
      </c>
    </row>
  </sheetData>
  <mergeCells count="4">
    <mergeCell ref="A2:R2"/>
    <mergeCell ref="A3:C3"/>
    <mergeCell ref="M3:N3"/>
    <mergeCell ref="A225:C2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225"/>
  <sheetViews>
    <sheetView workbookViewId="0">
      <selection activeCell="J9" sqref="J9"/>
    </sheetView>
  </sheetViews>
  <sheetFormatPr baseColWidth="10" defaultColWidth="11.42578125" defaultRowHeight="15" x14ac:dyDescent="0.25"/>
  <sheetData>
    <row r="1" spans="1:21" x14ac:dyDescent="0.25">
      <c r="A1" s="171" t="s">
        <v>782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1" ht="14.45" customHeight="1" x14ac:dyDescent="0.25">
      <c r="A2" s="139" t="s">
        <v>781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4" t="s">
        <v>746</v>
      </c>
      <c r="P2" s="140"/>
      <c r="Q2" s="140"/>
      <c r="R2" s="140"/>
      <c r="S2" s="140"/>
      <c r="T2" s="140"/>
      <c r="U2" s="140"/>
    </row>
    <row r="3" spans="1:21" ht="56.25" x14ac:dyDescent="0.25">
      <c r="A3" s="224" t="s">
        <v>61</v>
      </c>
      <c r="B3" s="206"/>
      <c r="C3" s="206"/>
      <c r="E3" s="91" t="s">
        <v>69</v>
      </c>
      <c r="J3" s="93">
        <v>2026</v>
      </c>
      <c r="K3" s="94"/>
      <c r="L3" s="94"/>
      <c r="M3" s="229" t="s">
        <v>70</v>
      </c>
      <c r="N3" s="206"/>
      <c r="O3" s="23" t="s">
        <v>71</v>
      </c>
      <c r="P3" s="23" t="s">
        <v>728</v>
      </c>
      <c r="Q3" s="23" t="s">
        <v>729</v>
      </c>
      <c r="R3" s="23" t="s">
        <v>730</v>
      </c>
      <c r="S3" s="23" t="s">
        <v>72</v>
      </c>
      <c r="T3" s="10" t="s">
        <v>73</v>
      </c>
      <c r="U3" s="10" t="s">
        <v>74</v>
      </c>
    </row>
    <row r="4" spans="1:21" ht="45.75" thickBot="1" x14ac:dyDescent="0.3">
      <c r="A4" s="10" t="s">
        <v>57</v>
      </c>
      <c r="B4" s="10" t="s">
        <v>55</v>
      </c>
      <c r="C4" s="10" t="s">
        <v>58</v>
      </c>
      <c r="D4" s="10"/>
      <c r="E4" s="11" t="s">
        <v>761</v>
      </c>
      <c r="F4" s="11" t="s">
        <v>764</v>
      </c>
      <c r="G4" s="11" t="s">
        <v>762</v>
      </c>
      <c r="H4" s="11" t="s">
        <v>763</v>
      </c>
      <c r="I4" s="174" t="s">
        <v>75</v>
      </c>
      <c r="J4" s="175" t="s">
        <v>76</v>
      </c>
      <c r="K4" s="175" t="s">
        <v>727</v>
      </c>
      <c r="L4" s="5" t="s">
        <v>77</v>
      </c>
      <c r="M4" s="22" t="s">
        <v>78</v>
      </c>
      <c r="N4" s="22" t="s">
        <v>79</v>
      </c>
      <c r="O4" s="23" t="s">
        <v>80</v>
      </c>
      <c r="P4" s="23" t="s">
        <v>80</v>
      </c>
      <c r="Q4" s="23" t="s">
        <v>80</v>
      </c>
      <c r="R4" s="23" t="s">
        <v>80</v>
      </c>
      <c r="S4" s="23" t="s">
        <v>81</v>
      </c>
      <c r="T4" s="10" t="s">
        <v>82</v>
      </c>
      <c r="U4" s="10" t="s">
        <v>83</v>
      </c>
    </row>
    <row r="5" spans="1:21" ht="15.75" thickBot="1" x14ac:dyDescent="0.3">
      <c r="A5" s="17">
        <v>1</v>
      </c>
      <c r="B5" s="150">
        <f>'X. Satser pensjonstilskudd'!B5</f>
        <v>0</v>
      </c>
      <c r="C5" s="18">
        <f>'X. Satser pensjonstilskudd'!C5</f>
        <v>0</v>
      </c>
      <c r="D5" s="18" t="str">
        <f>IFERROR(_xlfn.XLOOKUP($C5,factPensjon[Virksomhetsnr.],factPensjon[Forpliktelser]),"")</f>
        <v/>
      </c>
      <c r="E5" s="148">
        <f>SUMIFS(BasilRadata[Heltidsplasser
0-2],BasilRadata[År],'0. Oppsett'!$C$7-1,BasilRadata[1B. Organisasjonsnummer:],$C5)</f>
        <v>0</v>
      </c>
      <c r="F5" s="25">
        <f>'4. Selvkost og satser'!$B$54</f>
        <v>288170.9461329499</v>
      </c>
      <c r="G5" s="148">
        <f>SUMIFS(BasilRadata[Heltidsplasser
3-6],BasilRadata[År],'0. Oppsett'!$C$7-1,BasilRadata[1B. Organisasjonsnummer:],$C5)</f>
        <v>0</v>
      </c>
      <c r="H5" s="172">
        <f>'4. Selvkost og satser'!$B$55</f>
        <v>156604.23359926464</v>
      </c>
      <c r="I5" s="172">
        <f>IFERROR(IF(B5="",0,E5*F5+G5*H5),0)</f>
        <v>0</v>
      </c>
      <c r="J5" s="176">
        <f>SUMIFS(BasilRadata[8E. Oppgi antall årsverk barnehagen har pensjonsforpliktelser for:],BasilRadata[År],'0. Oppsett'!$C$7-1,BasilRadata[1B. Organisasjonsnummer:],'X. Utbetalingsmodul'!$C5)</f>
        <v>0</v>
      </c>
      <c r="K5" s="172" t="e">
        <f>_xlfn.XLOOKUP(C5,'X. Satser pensjonstilskudd'!$C$5:$C$224,'X. Satser pensjonstilskudd'!$I$5:$I$224)</f>
        <v>#DIV/0!</v>
      </c>
      <c r="L5" s="173" t="e">
        <f>K5*J5</f>
        <v>#DIV/0!</v>
      </c>
      <c r="M5" s="147">
        <f>E5+G5</f>
        <v>0</v>
      </c>
      <c r="N5" s="32">
        <f>IFERROR(M5*'0. Oppsett'!$C$30,0)</f>
        <v>0</v>
      </c>
      <c r="O5" s="33">
        <v>0</v>
      </c>
      <c r="P5" s="33"/>
      <c r="Q5" s="33"/>
      <c r="R5" s="33"/>
      <c r="S5" s="33">
        <v>0</v>
      </c>
      <c r="T5" s="34">
        <v>0</v>
      </c>
      <c r="U5" s="35">
        <f t="shared" ref="U5:U10" si="0">IFERROR(IF(B5="",0,I5+L5+N5+O5+S5+T5),0)</f>
        <v>0</v>
      </c>
    </row>
    <row r="6" spans="1:21" ht="15.75" thickBot="1" x14ac:dyDescent="0.3">
      <c r="A6" s="21">
        <v>2</v>
      </c>
      <c r="B6" s="150">
        <f>'X. Satser pensjonstilskudd'!B6</f>
        <v>0</v>
      </c>
      <c r="C6" s="18">
        <f>'X. Satser pensjonstilskudd'!C6</f>
        <v>0</v>
      </c>
      <c r="D6" s="18" t="str">
        <f>IFERROR(_xlfn.XLOOKUP($C6,factPensjon[Virksomhetsnr.],factPensjon[Forpliktelser]),"")</f>
        <v/>
      </c>
      <c r="E6" s="148">
        <f>SUMIFS(BasilRadata[Heltidsplasser
0-2],BasilRadata[År],'0. Oppsett'!$C$7-1,BasilRadata[1B. Organisasjonsnummer:],$C6)</f>
        <v>0</v>
      </c>
      <c r="F6" s="25">
        <f>'4. Selvkost og satser'!$B$54</f>
        <v>288170.9461329499</v>
      </c>
      <c r="G6" s="148">
        <f>SUMIFS(BasilRadata[Heltidsplasser
3-6],BasilRadata[År],'0. Oppsett'!$C$7-1,BasilRadata[1B. Organisasjonsnummer:],$C6)</f>
        <v>0</v>
      </c>
      <c r="H6" s="172">
        <f>'4. Selvkost og satser'!$B$55</f>
        <v>156604.23359926464</v>
      </c>
      <c r="I6" s="172">
        <f t="shared" ref="I6:I68" si="1">IFERROR(IF(B6="",0,E6*F6+G6*H6),0)</f>
        <v>0</v>
      </c>
      <c r="J6" s="176">
        <f>SUMIFS(BasilRadata[8E. Oppgi antall årsverk barnehagen har pensjonsforpliktelser for:],BasilRadata[År],'0. Oppsett'!$C$7-1,BasilRadata[1B. Organisasjonsnummer:],'X. Utbetalingsmodul'!$C6)</f>
        <v>0</v>
      </c>
      <c r="K6" s="172" t="e">
        <f>_xlfn.XLOOKUP(C6,'X. Satser pensjonstilskudd'!$C$5:$C$224,'X. Satser pensjonstilskudd'!$I$5:$I$224)</f>
        <v>#DIV/0!</v>
      </c>
      <c r="L6" s="173" t="e">
        <f t="shared" ref="L6:L68" si="2">K6*J6</f>
        <v>#DIV/0!</v>
      </c>
      <c r="M6" s="147">
        <f t="shared" ref="M6:M69" si="3">E6+G6</f>
        <v>0</v>
      </c>
      <c r="N6" s="32">
        <f>IFERROR(M6*'0. Oppsett'!$C$30,0)</f>
        <v>0</v>
      </c>
      <c r="O6" s="33">
        <v>0</v>
      </c>
      <c r="P6" s="33"/>
      <c r="Q6" s="33"/>
      <c r="R6" s="33"/>
      <c r="S6" s="33">
        <v>0</v>
      </c>
      <c r="T6" s="34">
        <v>0</v>
      </c>
      <c r="U6" s="35">
        <f t="shared" si="0"/>
        <v>0</v>
      </c>
    </row>
    <row r="7" spans="1:21" ht="15.75" thickBot="1" x14ac:dyDescent="0.3">
      <c r="A7" s="17">
        <v>3</v>
      </c>
      <c r="B7" s="150">
        <f>'X. Satser pensjonstilskudd'!B7</f>
        <v>0</v>
      </c>
      <c r="C7" s="18">
        <f>'X. Satser pensjonstilskudd'!C7</f>
        <v>0</v>
      </c>
      <c r="D7" s="18" t="str">
        <f>IFERROR(_xlfn.XLOOKUP($C7,factPensjon[Virksomhetsnr.],factPensjon[Forpliktelser]),"")</f>
        <v/>
      </c>
      <c r="E7" s="148">
        <f>SUMIFS(BasilRadata[Heltidsplasser
0-2],BasilRadata[År],'0. Oppsett'!$C$7-1,BasilRadata[1B. Organisasjonsnummer:],$C7)</f>
        <v>0</v>
      </c>
      <c r="F7" s="25">
        <f>'4. Selvkost og satser'!$B$54</f>
        <v>288170.9461329499</v>
      </c>
      <c r="G7" s="148">
        <f>SUMIFS(BasilRadata[Heltidsplasser
3-6],BasilRadata[År],'0. Oppsett'!$C$7-1,BasilRadata[1B. Organisasjonsnummer:],$C7)</f>
        <v>0</v>
      </c>
      <c r="H7" s="172">
        <f>'4. Selvkost og satser'!$B$55</f>
        <v>156604.23359926464</v>
      </c>
      <c r="I7" s="172">
        <f t="shared" si="1"/>
        <v>0</v>
      </c>
      <c r="J7" s="176">
        <f>SUMIFS(BasilRadata[8E. Oppgi antall årsverk barnehagen har pensjonsforpliktelser for:],BasilRadata[År],'0. Oppsett'!$C$7-1,BasilRadata[1B. Organisasjonsnummer:],'X. Utbetalingsmodul'!$C7)</f>
        <v>0</v>
      </c>
      <c r="K7" s="172" t="e">
        <f>_xlfn.XLOOKUP(C7,'X. Satser pensjonstilskudd'!$C$5:$C$224,'X. Satser pensjonstilskudd'!$I$5:$I$224)</f>
        <v>#DIV/0!</v>
      </c>
      <c r="L7" s="173" t="e">
        <f t="shared" si="2"/>
        <v>#DIV/0!</v>
      </c>
      <c r="M7" s="147">
        <f t="shared" si="3"/>
        <v>0</v>
      </c>
      <c r="N7" s="32">
        <f>IFERROR(M7*'0. Oppsett'!$C$30,0)</f>
        <v>0</v>
      </c>
      <c r="O7" s="33">
        <v>0</v>
      </c>
      <c r="P7" s="33"/>
      <c r="Q7" s="33"/>
      <c r="R7" s="33"/>
      <c r="S7" s="33">
        <v>0</v>
      </c>
      <c r="T7" s="34">
        <v>0</v>
      </c>
      <c r="U7" s="35">
        <f t="shared" si="0"/>
        <v>0</v>
      </c>
    </row>
    <row r="8" spans="1:21" ht="15.75" thickBot="1" x14ac:dyDescent="0.3">
      <c r="A8" s="21">
        <v>4</v>
      </c>
      <c r="B8" s="150">
        <f>'X. Satser pensjonstilskudd'!B8</f>
        <v>0</v>
      </c>
      <c r="C8" s="18">
        <f>'X. Satser pensjonstilskudd'!C8</f>
        <v>0</v>
      </c>
      <c r="D8" s="18" t="str">
        <f>IFERROR(_xlfn.XLOOKUP($C8,factPensjon[Virksomhetsnr.],factPensjon[Forpliktelser]),"")</f>
        <v/>
      </c>
      <c r="E8" s="148">
        <f>SUMIFS(BasilRadata[Heltidsplasser
0-2],BasilRadata[År],'0. Oppsett'!$C$7-1,BasilRadata[1B. Organisasjonsnummer:],$C8)</f>
        <v>0</v>
      </c>
      <c r="F8" s="25">
        <f>'4. Selvkost og satser'!$B$54</f>
        <v>288170.9461329499</v>
      </c>
      <c r="G8" s="148">
        <f>SUMIFS(BasilRadata[Heltidsplasser
3-6],BasilRadata[År],'0. Oppsett'!$C$7-1,BasilRadata[1B. Organisasjonsnummer:],$C8)</f>
        <v>0</v>
      </c>
      <c r="H8" s="172">
        <f>'4. Selvkost og satser'!$B$55</f>
        <v>156604.23359926464</v>
      </c>
      <c r="I8" s="172">
        <f t="shared" si="1"/>
        <v>0</v>
      </c>
      <c r="J8" s="176">
        <f>SUMIFS(BasilRadata[8E. Oppgi antall årsverk barnehagen har pensjonsforpliktelser for:],BasilRadata[År],'0. Oppsett'!$C$7-1,BasilRadata[1B. Organisasjonsnummer:],'X. Utbetalingsmodul'!$C8)</f>
        <v>0</v>
      </c>
      <c r="K8" s="172" t="e">
        <f>_xlfn.XLOOKUP(C8,'X. Satser pensjonstilskudd'!$C$5:$C$224,'X. Satser pensjonstilskudd'!$I$5:$I$224)</f>
        <v>#DIV/0!</v>
      </c>
      <c r="L8" s="173" t="e">
        <f t="shared" si="2"/>
        <v>#DIV/0!</v>
      </c>
      <c r="M8" s="147">
        <f t="shared" si="3"/>
        <v>0</v>
      </c>
      <c r="N8" s="32">
        <f>IFERROR(M8*'0. Oppsett'!$C$30,0)</f>
        <v>0</v>
      </c>
      <c r="O8" s="33">
        <v>0</v>
      </c>
      <c r="P8" s="33"/>
      <c r="Q8" s="33"/>
      <c r="R8" s="33"/>
      <c r="S8" s="33">
        <v>0</v>
      </c>
      <c r="T8" s="34">
        <v>0</v>
      </c>
      <c r="U8" s="35">
        <f t="shared" si="0"/>
        <v>0</v>
      </c>
    </row>
    <row r="9" spans="1:21" ht="15.75" thickBot="1" x14ac:dyDescent="0.3">
      <c r="A9" s="17">
        <v>5</v>
      </c>
      <c r="B9" s="150">
        <f>'X. Satser pensjonstilskudd'!B9</f>
        <v>0</v>
      </c>
      <c r="C9" s="18">
        <f>'X. Satser pensjonstilskudd'!C9</f>
        <v>0</v>
      </c>
      <c r="D9" s="18" t="str">
        <f>IFERROR(_xlfn.XLOOKUP($C9,factPensjon[Virksomhetsnr.],factPensjon[Forpliktelser]),"")</f>
        <v/>
      </c>
      <c r="E9" s="148">
        <f>SUMIFS(BasilRadata[Heltidsplasser
0-2],BasilRadata[År],'0. Oppsett'!$C$7-1,BasilRadata[1B. Organisasjonsnummer:],$C9)</f>
        <v>0</v>
      </c>
      <c r="F9" s="25">
        <f>'4. Selvkost og satser'!$B$54</f>
        <v>288170.9461329499</v>
      </c>
      <c r="G9" s="148">
        <f>SUMIFS(BasilRadata[Heltidsplasser
3-6],BasilRadata[År],'0. Oppsett'!$C$7-1,BasilRadata[1B. Organisasjonsnummer:],$C9)</f>
        <v>0</v>
      </c>
      <c r="H9" s="172">
        <f>'4. Selvkost og satser'!$B$55</f>
        <v>156604.23359926464</v>
      </c>
      <c r="I9" s="172">
        <f t="shared" si="1"/>
        <v>0</v>
      </c>
      <c r="J9" s="176">
        <f>SUMIFS(BasilRadata[8E. Oppgi antall årsverk barnehagen har pensjonsforpliktelser for:],BasilRadata[År],'0. Oppsett'!$C$7-1,BasilRadata[1B. Organisasjonsnummer:],'X. Utbetalingsmodul'!$C9)</f>
        <v>0</v>
      </c>
      <c r="K9" s="172" t="e">
        <f>_xlfn.XLOOKUP(C9,'X. Satser pensjonstilskudd'!$C$5:$C$224,'X. Satser pensjonstilskudd'!$I$5:$I$224)</f>
        <v>#DIV/0!</v>
      </c>
      <c r="L9" s="173" t="e">
        <f t="shared" si="2"/>
        <v>#DIV/0!</v>
      </c>
      <c r="M9" s="147">
        <f t="shared" si="3"/>
        <v>0</v>
      </c>
      <c r="N9" s="32">
        <f>IFERROR(M9*'0. Oppsett'!$C$30,0)</f>
        <v>0</v>
      </c>
      <c r="O9" s="33">
        <v>0</v>
      </c>
      <c r="P9" s="33"/>
      <c r="Q9" s="33"/>
      <c r="R9" s="33"/>
      <c r="S9" s="33">
        <v>0</v>
      </c>
      <c r="T9" s="34">
        <v>0</v>
      </c>
      <c r="U9" s="35">
        <f t="shared" si="0"/>
        <v>0</v>
      </c>
    </row>
    <row r="10" spans="1:21" ht="15.75" thickBot="1" x14ac:dyDescent="0.3">
      <c r="A10" s="21">
        <v>6</v>
      </c>
      <c r="B10" s="150">
        <f>'X. Satser pensjonstilskudd'!B10</f>
        <v>0</v>
      </c>
      <c r="C10" s="18">
        <f>'X. Satser pensjonstilskudd'!C10</f>
        <v>0</v>
      </c>
      <c r="D10" s="18" t="str">
        <f>IFERROR(_xlfn.XLOOKUP($C10,factPensjon[Virksomhetsnr.],factPensjon[Forpliktelser]),"")</f>
        <v/>
      </c>
      <c r="E10" s="148">
        <f>SUMIFS(BasilRadata[Heltidsplasser
0-2],BasilRadata[År],'0. Oppsett'!$C$7-1,BasilRadata[1B. Organisasjonsnummer:],$C10)</f>
        <v>0</v>
      </c>
      <c r="F10" s="25">
        <f>'4. Selvkost og satser'!$B$54</f>
        <v>288170.9461329499</v>
      </c>
      <c r="G10" s="148">
        <f>SUMIFS(BasilRadata[Heltidsplasser
3-6],BasilRadata[År],'0. Oppsett'!$C$7-1,BasilRadata[1B. Organisasjonsnummer:],$C10)</f>
        <v>0</v>
      </c>
      <c r="H10" s="172">
        <f>'4. Selvkost og satser'!$B$55</f>
        <v>156604.23359926464</v>
      </c>
      <c r="I10" s="172">
        <f t="shared" si="1"/>
        <v>0</v>
      </c>
      <c r="J10" s="176">
        <f>SUMIFS(BasilRadata[8E. Oppgi antall årsverk barnehagen har pensjonsforpliktelser for:],BasilRadata[År],'0. Oppsett'!$C$7-1,BasilRadata[1B. Organisasjonsnummer:],'X. Utbetalingsmodul'!$C10)</f>
        <v>0</v>
      </c>
      <c r="K10" s="172" t="e">
        <f>_xlfn.XLOOKUP(C10,'X. Satser pensjonstilskudd'!$C$5:$C$224,'X. Satser pensjonstilskudd'!$I$5:$I$224)</f>
        <v>#DIV/0!</v>
      </c>
      <c r="L10" s="173" t="e">
        <f t="shared" si="2"/>
        <v>#DIV/0!</v>
      </c>
      <c r="M10" s="147">
        <f t="shared" si="3"/>
        <v>0</v>
      </c>
      <c r="N10" s="32">
        <f>IFERROR(M10*'0. Oppsett'!$C$30,0)</f>
        <v>0</v>
      </c>
      <c r="O10" s="33">
        <v>0</v>
      </c>
      <c r="P10" s="33"/>
      <c r="Q10" s="33"/>
      <c r="R10" s="33"/>
      <c r="S10" s="33">
        <v>0</v>
      </c>
      <c r="T10" s="34">
        <v>0</v>
      </c>
      <c r="U10" s="35">
        <f t="shared" si="0"/>
        <v>0</v>
      </c>
    </row>
    <row r="11" spans="1:21" ht="15.75" thickBot="1" x14ac:dyDescent="0.3">
      <c r="A11" s="17">
        <v>7</v>
      </c>
      <c r="B11" s="150">
        <f>'X. Satser pensjonstilskudd'!B11</f>
        <v>0</v>
      </c>
      <c r="C11" s="18">
        <f>'X. Satser pensjonstilskudd'!C11</f>
        <v>0</v>
      </c>
      <c r="D11" s="18" t="str">
        <f>IFERROR(_xlfn.XLOOKUP($C11,factPensjon[Virksomhetsnr.],factPensjon[Forpliktelser]),"")</f>
        <v/>
      </c>
      <c r="E11" s="148">
        <f>SUMIFS(BasilRadata[Heltidsplasser
0-2],BasilRadata[År],'0. Oppsett'!$C$7-1,BasilRadata[1B. Organisasjonsnummer:],$C11)</f>
        <v>0</v>
      </c>
      <c r="F11" s="25">
        <f>'4. Selvkost og satser'!$B$54</f>
        <v>288170.9461329499</v>
      </c>
      <c r="G11" s="148">
        <f>SUMIFS(BasilRadata[Heltidsplasser
3-6],BasilRadata[År],'0. Oppsett'!$C$7-1,BasilRadata[1B. Organisasjonsnummer:],$C11)</f>
        <v>0</v>
      </c>
      <c r="H11" s="172">
        <f>'4. Selvkost og satser'!$B$55</f>
        <v>156604.23359926464</v>
      </c>
      <c r="I11" s="172">
        <f t="shared" si="1"/>
        <v>0</v>
      </c>
      <c r="J11" s="176">
        <f>SUMIFS(BasilRadata[8E. Oppgi antall årsverk barnehagen har pensjonsforpliktelser for:],BasilRadata[År],'0. Oppsett'!$C$7-1,BasilRadata[1B. Organisasjonsnummer:],'X. Utbetalingsmodul'!$C11)</f>
        <v>0</v>
      </c>
      <c r="K11" s="172" t="e">
        <f>_xlfn.XLOOKUP(C11,'X. Satser pensjonstilskudd'!$C$5:$C$224,'X. Satser pensjonstilskudd'!$I$5:$I$224)</f>
        <v>#DIV/0!</v>
      </c>
      <c r="L11" s="173" t="e">
        <f t="shared" si="2"/>
        <v>#DIV/0!</v>
      </c>
      <c r="M11" s="147">
        <f t="shared" si="3"/>
        <v>0</v>
      </c>
      <c r="N11" s="32">
        <f>IFERROR(M11*'0. Oppsett'!$C$30,0)</f>
        <v>0</v>
      </c>
      <c r="O11" s="33">
        <v>0</v>
      </c>
      <c r="P11" s="33"/>
      <c r="Q11" s="33"/>
      <c r="R11" s="33"/>
      <c r="S11" s="33">
        <v>0</v>
      </c>
      <c r="T11" s="34">
        <v>0</v>
      </c>
      <c r="U11" s="35">
        <f t="shared" ref="U11:U74" si="4">IFERROR(IF(B11="",0,I11+K11+N11+O11+S11+T11),0)</f>
        <v>0</v>
      </c>
    </row>
    <row r="12" spans="1:21" ht="15.75" thickBot="1" x14ac:dyDescent="0.3">
      <c r="A12" s="21">
        <v>8</v>
      </c>
      <c r="B12" s="150">
        <f>'X. Satser pensjonstilskudd'!B12</f>
        <v>0</v>
      </c>
      <c r="C12" s="18">
        <f>'X. Satser pensjonstilskudd'!C12</f>
        <v>0</v>
      </c>
      <c r="D12" s="18" t="str">
        <f>IFERROR(_xlfn.XLOOKUP($C12,factPensjon[Virksomhetsnr.],factPensjon[Forpliktelser]),"")</f>
        <v/>
      </c>
      <c r="E12" s="148">
        <f>SUMIFS(BasilRadata[Heltidsplasser
0-2],BasilRadata[År],'0. Oppsett'!$C$7-1,BasilRadata[1B. Organisasjonsnummer:],$C12)</f>
        <v>0</v>
      </c>
      <c r="F12" s="25">
        <f>'4. Selvkost og satser'!$B$54</f>
        <v>288170.9461329499</v>
      </c>
      <c r="G12" s="148">
        <f>SUMIFS(BasilRadata[Heltidsplasser
3-6],BasilRadata[År],'0. Oppsett'!$C$7-1,BasilRadata[1B. Organisasjonsnummer:],$C12)</f>
        <v>0</v>
      </c>
      <c r="H12" s="25">
        <f>'4. Selvkost og satser'!$B$55</f>
        <v>156604.23359926464</v>
      </c>
      <c r="I12" s="172">
        <f t="shared" si="1"/>
        <v>0</v>
      </c>
      <c r="J12" s="176">
        <f>SUMIFS(BasilRadata[8E. Oppgi antall årsverk barnehagen har pensjonsforpliktelser for:],BasilRadata[År],'0. Oppsett'!$C$7-1,BasilRadata[1B. Organisasjonsnummer:],'X. Utbetalingsmodul'!$C12)</f>
        <v>0</v>
      </c>
      <c r="K12" s="172" t="e">
        <f>_xlfn.XLOOKUP(C12,'X. Satser pensjonstilskudd'!$C$5:$C$224,'X. Satser pensjonstilskudd'!$I$5:$I$224)</f>
        <v>#DIV/0!</v>
      </c>
      <c r="L12" s="173" t="e">
        <f t="shared" si="2"/>
        <v>#DIV/0!</v>
      </c>
      <c r="M12" s="147">
        <f t="shared" si="3"/>
        <v>0</v>
      </c>
      <c r="N12" s="32">
        <f>IFERROR(M12*'0. Oppsett'!$C$30,0)</f>
        <v>0</v>
      </c>
      <c r="O12" s="33">
        <v>0</v>
      </c>
      <c r="P12" s="33"/>
      <c r="Q12" s="33"/>
      <c r="R12" s="33"/>
      <c r="S12" s="33">
        <v>0</v>
      </c>
      <c r="T12" s="34">
        <v>0</v>
      </c>
      <c r="U12" s="35">
        <f t="shared" si="4"/>
        <v>0</v>
      </c>
    </row>
    <row r="13" spans="1:21" ht="15.75" thickBot="1" x14ac:dyDescent="0.3">
      <c r="A13" s="17">
        <v>9</v>
      </c>
      <c r="B13" s="150">
        <f>'X. Satser pensjonstilskudd'!B13</f>
        <v>0</v>
      </c>
      <c r="C13" s="18">
        <f>'X. Satser pensjonstilskudd'!C13</f>
        <v>0</v>
      </c>
      <c r="D13" s="18" t="str">
        <f>IFERROR(_xlfn.XLOOKUP($C13,factPensjon[Virksomhetsnr.],factPensjon[Forpliktelser]),"")</f>
        <v/>
      </c>
      <c r="E13" s="148">
        <f>SUMIFS(BasilRadata[Heltidsplasser
0-2],BasilRadata[År],'0. Oppsett'!$C$7-1,BasilRadata[1B. Organisasjonsnummer:],$C13)</f>
        <v>0</v>
      </c>
      <c r="F13" s="25">
        <f>'4. Selvkost og satser'!$B$54</f>
        <v>288170.9461329499</v>
      </c>
      <c r="G13" s="148">
        <f>SUMIFS(BasilRadata[Heltidsplasser
3-6],BasilRadata[År],'0. Oppsett'!$C$7-1,BasilRadata[1B. Organisasjonsnummer:],$C13)</f>
        <v>0</v>
      </c>
      <c r="H13" s="25">
        <f>'4. Selvkost og satser'!$B$55</f>
        <v>156604.23359926464</v>
      </c>
      <c r="I13" s="172">
        <f t="shared" si="1"/>
        <v>0</v>
      </c>
      <c r="J13" s="176">
        <f>SUMIFS(BasilRadata[8E. Oppgi antall årsverk barnehagen har pensjonsforpliktelser for:],BasilRadata[År],'0. Oppsett'!$C$7-1,BasilRadata[1B. Organisasjonsnummer:],'X. Utbetalingsmodul'!$C13)</f>
        <v>0</v>
      </c>
      <c r="K13" s="172" t="e">
        <f>_xlfn.XLOOKUP(C13,'X. Satser pensjonstilskudd'!$C$5:$C$224,'X. Satser pensjonstilskudd'!$I$5:$I$224)</f>
        <v>#DIV/0!</v>
      </c>
      <c r="L13" s="173" t="e">
        <f t="shared" si="2"/>
        <v>#DIV/0!</v>
      </c>
      <c r="M13" s="147">
        <f t="shared" si="3"/>
        <v>0</v>
      </c>
      <c r="N13" s="32">
        <f>IFERROR(M13*'0. Oppsett'!$C$30,0)</f>
        <v>0</v>
      </c>
      <c r="O13" s="33">
        <v>0</v>
      </c>
      <c r="P13" s="33"/>
      <c r="Q13" s="33"/>
      <c r="R13" s="33"/>
      <c r="S13" s="33">
        <v>0</v>
      </c>
      <c r="T13" s="34">
        <v>0</v>
      </c>
      <c r="U13" s="35">
        <f t="shared" si="4"/>
        <v>0</v>
      </c>
    </row>
    <row r="14" spans="1:21" ht="15.75" thickBot="1" x14ac:dyDescent="0.3">
      <c r="A14" s="21">
        <v>10</v>
      </c>
      <c r="B14" s="150">
        <f>'X. Satser pensjonstilskudd'!B14</f>
        <v>0</v>
      </c>
      <c r="C14" s="18">
        <f>'X. Satser pensjonstilskudd'!C14</f>
        <v>0</v>
      </c>
      <c r="D14" s="18" t="str">
        <f>IFERROR(_xlfn.XLOOKUP($C14,factPensjon[Virksomhetsnr.],factPensjon[Forpliktelser]),"")</f>
        <v/>
      </c>
      <c r="E14" s="148">
        <f>SUMIFS(BasilRadata[Heltidsplasser
0-2],BasilRadata[År],'0. Oppsett'!$C$7-1,BasilRadata[1B. Organisasjonsnummer:],$C14)</f>
        <v>0</v>
      </c>
      <c r="F14" s="25">
        <f>'4. Selvkost og satser'!$B$54</f>
        <v>288170.9461329499</v>
      </c>
      <c r="G14" s="148">
        <f>SUMIFS(BasilRadata[Heltidsplasser
3-6],BasilRadata[År],'0. Oppsett'!$C$7-1,BasilRadata[1B. Organisasjonsnummer:],$C14)</f>
        <v>0</v>
      </c>
      <c r="H14" s="25">
        <f>'4. Selvkost og satser'!$B$55</f>
        <v>156604.23359926464</v>
      </c>
      <c r="I14" s="172">
        <f t="shared" si="1"/>
        <v>0</v>
      </c>
      <c r="J14" s="176">
        <f>SUMIFS(BasilRadata[8E. Oppgi antall årsverk barnehagen har pensjonsforpliktelser for:],BasilRadata[År],'0. Oppsett'!$C$7-1,BasilRadata[1B. Organisasjonsnummer:],'X. Utbetalingsmodul'!$C14)</f>
        <v>0</v>
      </c>
      <c r="K14" s="172" t="e">
        <f>_xlfn.XLOOKUP(C14,'X. Satser pensjonstilskudd'!$C$5:$C$224,'X. Satser pensjonstilskudd'!$I$5:$I$224)</f>
        <v>#DIV/0!</v>
      </c>
      <c r="L14" s="173" t="e">
        <f t="shared" si="2"/>
        <v>#DIV/0!</v>
      </c>
      <c r="M14" s="147">
        <f t="shared" si="3"/>
        <v>0</v>
      </c>
      <c r="N14" s="32">
        <f>IFERROR(M14*'0. Oppsett'!$C$30,0)</f>
        <v>0</v>
      </c>
      <c r="O14" s="33">
        <v>0</v>
      </c>
      <c r="P14" s="33"/>
      <c r="Q14" s="33"/>
      <c r="R14" s="33"/>
      <c r="S14" s="33">
        <v>0</v>
      </c>
      <c r="T14" s="34">
        <v>0</v>
      </c>
      <c r="U14" s="35">
        <f t="shared" si="4"/>
        <v>0</v>
      </c>
    </row>
    <row r="15" spans="1:21" ht="15.75" thickBot="1" x14ac:dyDescent="0.3">
      <c r="A15" s="17">
        <v>11</v>
      </c>
      <c r="B15" s="150">
        <f>'X. Satser pensjonstilskudd'!B15</f>
        <v>0</v>
      </c>
      <c r="C15" s="18">
        <f>'X. Satser pensjonstilskudd'!C15</f>
        <v>0</v>
      </c>
      <c r="D15" s="18" t="str">
        <f>IFERROR(_xlfn.XLOOKUP($C15,factPensjon[Virksomhetsnr.],factPensjon[Forpliktelser]),"")</f>
        <v/>
      </c>
      <c r="E15" s="148">
        <f>SUMIFS(BasilRadata[Heltidsplasser
0-2],BasilRadata[År],'0. Oppsett'!$C$7-1,BasilRadata[1B. Organisasjonsnummer:],$C15)</f>
        <v>0</v>
      </c>
      <c r="F15" s="25">
        <f>'4. Selvkost og satser'!$B$54</f>
        <v>288170.9461329499</v>
      </c>
      <c r="G15" s="148">
        <f>SUMIFS(BasilRadata[Heltidsplasser
3-6],BasilRadata[År],'0. Oppsett'!$C$7-1,BasilRadata[1B. Organisasjonsnummer:],$C15)</f>
        <v>0</v>
      </c>
      <c r="H15" s="25">
        <f>'4. Selvkost og satser'!$B$55</f>
        <v>156604.23359926464</v>
      </c>
      <c r="I15" s="172">
        <f t="shared" si="1"/>
        <v>0</v>
      </c>
      <c r="J15" s="176">
        <f>SUMIFS(BasilRadata[8E. Oppgi antall årsverk barnehagen har pensjonsforpliktelser for:],BasilRadata[År],'0. Oppsett'!$C$7-1,BasilRadata[1B. Organisasjonsnummer:],'X. Utbetalingsmodul'!$C15)</f>
        <v>0</v>
      </c>
      <c r="K15" s="172" t="e">
        <f>_xlfn.XLOOKUP(C15,'X. Satser pensjonstilskudd'!$C$5:$C$224,'X. Satser pensjonstilskudd'!$I$5:$I$224)</f>
        <v>#DIV/0!</v>
      </c>
      <c r="L15" s="173" t="e">
        <f t="shared" si="2"/>
        <v>#DIV/0!</v>
      </c>
      <c r="M15" s="147">
        <f t="shared" si="3"/>
        <v>0</v>
      </c>
      <c r="N15" s="32">
        <f>IFERROR(M15*'0. Oppsett'!$C$30,0)</f>
        <v>0</v>
      </c>
      <c r="O15" s="33">
        <v>0</v>
      </c>
      <c r="P15" s="33"/>
      <c r="Q15" s="33"/>
      <c r="R15" s="33"/>
      <c r="S15" s="33">
        <v>0</v>
      </c>
      <c r="T15" s="34">
        <v>0</v>
      </c>
      <c r="U15" s="35">
        <f t="shared" si="4"/>
        <v>0</v>
      </c>
    </row>
    <row r="16" spans="1:21" ht="15.75" thickBot="1" x14ac:dyDescent="0.3">
      <c r="A16" s="21">
        <v>12</v>
      </c>
      <c r="B16" s="150">
        <f>'X. Satser pensjonstilskudd'!B16</f>
        <v>0</v>
      </c>
      <c r="C16" s="18">
        <f>'X. Satser pensjonstilskudd'!C16</f>
        <v>0</v>
      </c>
      <c r="D16" s="18" t="str">
        <f>IFERROR(_xlfn.XLOOKUP($C16,factPensjon[Virksomhetsnr.],factPensjon[Forpliktelser]),"")</f>
        <v/>
      </c>
      <c r="E16" s="148">
        <f>SUMIFS(BasilRadata[Heltidsplasser
0-2],BasilRadata[År],'0. Oppsett'!$C$7-1,BasilRadata[1B. Organisasjonsnummer:],$C16)</f>
        <v>0</v>
      </c>
      <c r="F16" s="25">
        <f>'4. Selvkost og satser'!$B$54</f>
        <v>288170.9461329499</v>
      </c>
      <c r="G16" s="148">
        <f>SUMIFS(BasilRadata[Heltidsplasser
3-6],BasilRadata[År],'0. Oppsett'!$C$7-1,BasilRadata[1B. Organisasjonsnummer:],$C16)</f>
        <v>0</v>
      </c>
      <c r="H16" s="25">
        <f>'4. Selvkost og satser'!$B$55</f>
        <v>156604.23359926464</v>
      </c>
      <c r="I16" s="172">
        <f t="shared" si="1"/>
        <v>0</v>
      </c>
      <c r="J16" s="176">
        <f>SUMIFS(BasilRadata[8E. Oppgi antall årsverk barnehagen har pensjonsforpliktelser for:],BasilRadata[År],'0. Oppsett'!$C$7-1,BasilRadata[1B. Organisasjonsnummer:],'X. Utbetalingsmodul'!$C16)</f>
        <v>0</v>
      </c>
      <c r="K16" s="172" t="e">
        <f>_xlfn.XLOOKUP(C16,'X. Satser pensjonstilskudd'!$C$5:$C$224,'X. Satser pensjonstilskudd'!$I$5:$I$224)</f>
        <v>#DIV/0!</v>
      </c>
      <c r="L16" s="173" t="e">
        <f t="shared" si="2"/>
        <v>#DIV/0!</v>
      </c>
      <c r="M16" s="147">
        <f t="shared" si="3"/>
        <v>0</v>
      </c>
      <c r="N16" s="32">
        <f>IFERROR(M16*'0. Oppsett'!$C$30,0)</f>
        <v>0</v>
      </c>
      <c r="O16" s="33">
        <v>0</v>
      </c>
      <c r="P16" s="33"/>
      <c r="Q16" s="33"/>
      <c r="R16" s="33"/>
      <c r="S16" s="33">
        <v>0</v>
      </c>
      <c r="T16" s="34">
        <v>0</v>
      </c>
      <c r="U16" s="35">
        <f t="shared" si="4"/>
        <v>0</v>
      </c>
    </row>
    <row r="17" spans="1:21" ht="15.75" thickBot="1" x14ac:dyDescent="0.3">
      <c r="A17" s="17">
        <v>13</v>
      </c>
      <c r="B17" s="150">
        <f>'X. Satser pensjonstilskudd'!B17</f>
        <v>0</v>
      </c>
      <c r="C17" s="18">
        <f>'X. Satser pensjonstilskudd'!C17</f>
        <v>0</v>
      </c>
      <c r="D17" s="18" t="str">
        <f>IFERROR(_xlfn.XLOOKUP($C17,factPensjon[Virksomhetsnr.],factPensjon[Forpliktelser]),"")</f>
        <v/>
      </c>
      <c r="E17" s="148">
        <f>SUMIFS(BasilRadata[Heltidsplasser
0-2],BasilRadata[År],'0. Oppsett'!$C$7-1,BasilRadata[1B. Organisasjonsnummer:],$C17)</f>
        <v>0</v>
      </c>
      <c r="F17" s="25">
        <f>'4. Selvkost og satser'!$B$54</f>
        <v>288170.9461329499</v>
      </c>
      <c r="G17" s="148">
        <f>SUMIFS(BasilRadata[Heltidsplasser
3-6],BasilRadata[År],'0. Oppsett'!$C$7-1,BasilRadata[1B. Organisasjonsnummer:],$C17)</f>
        <v>0</v>
      </c>
      <c r="H17" s="25">
        <f>'4. Selvkost og satser'!$B$55</f>
        <v>156604.23359926464</v>
      </c>
      <c r="I17" s="172">
        <f t="shared" si="1"/>
        <v>0</v>
      </c>
      <c r="J17" s="176">
        <f>SUMIFS(BasilRadata[8E. Oppgi antall årsverk barnehagen har pensjonsforpliktelser for:],BasilRadata[År],'0. Oppsett'!$C$7-1,BasilRadata[1B. Organisasjonsnummer:],'X. Utbetalingsmodul'!$C17)</f>
        <v>0</v>
      </c>
      <c r="K17" s="172" t="e">
        <f>_xlfn.XLOOKUP(C17,'X. Satser pensjonstilskudd'!$C$5:$C$224,'X. Satser pensjonstilskudd'!$I$5:$I$224)</f>
        <v>#DIV/0!</v>
      </c>
      <c r="L17" s="173" t="e">
        <f t="shared" si="2"/>
        <v>#DIV/0!</v>
      </c>
      <c r="M17" s="147">
        <f t="shared" si="3"/>
        <v>0</v>
      </c>
      <c r="N17" s="32">
        <f>IFERROR(M17*'0. Oppsett'!$C$30,0)</f>
        <v>0</v>
      </c>
      <c r="O17" s="33">
        <v>0</v>
      </c>
      <c r="P17" s="33"/>
      <c r="Q17" s="33"/>
      <c r="R17" s="33"/>
      <c r="S17" s="33">
        <v>0</v>
      </c>
      <c r="T17" s="34">
        <v>0</v>
      </c>
      <c r="U17" s="35">
        <f t="shared" si="4"/>
        <v>0</v>
      </c>
    </row>
    <row r="18" spans="1:21" ht="15.75" thickBot="1" x14ac:dyDescent="0.3">
      <c r="A18" s="21">
        <v>14</v>
      </c>
      <c r="B18" s="150">
        <f>'X. Satser pensjonstilskudd'!B18</f>
        <v>0</v>
      </c>
      <c r="C18" s="18">
        <f>'X. Satser pensjonstilskudd'!C18</f>
        <v>0</v>
      </c>
      <c r="D18" s="18" t="str">
        <f>IFERROR(_xlfn.XLOOKUP($C18,factPensjon[Virksomhetsnr.],factPensjon[Forpliktelser]),"")</f>
        <v/>
      </c>
      <c r="E18" s="148">
        <f>SUMIFS(BasilRadata[Heltidsplasser
0-2],BasilRadata[År],'0. Oppsett'!$C$7-1,BasilRadata[1B. Organisasjonsnummer:],$C18)</f>
        <v>0</v>
      </c>
      <c r="F18" s="25">
        <f>'4. Selvkost og satser'!$B$54</f>
        <v>288170.9461329499</v>
      </c>
      <c r="G18" s="148">
        <f>SUMIFS(BasilRadata[Heltidsplasser
3-6],BasilRadata[År],'0. Oppsett'!$C$7-1,BasilRadata[1B. Organisasjonsnummer:],$C18)</f>
        <v>0</v>
      </c>
      <c r="H18" s="25">
        <f>'4. Selvkost og satser'!$B$55</f>
        <v>156604.23359926464</v>
      </c>
      <c r="I18" s="172">
        <f t="shared" si="1"/>
        <v>0</v>
      </c>
      <c r="J18" s="176">
        <f>SUMIFS(BasilRadata[8E. Oppgi antall årsverk barnehagen har pensjonsforpliktelser for:],BasilRadata[År],'0. Oppsett'!$C$7-1,BasilRadata[1B. Organisasjonsnummer:],'X. Utbetalingsmodul'!$C18)</f>
        <v>0</v>
      </c>
      <c r="K18" s="172" t="e">
        <f>_xlfn.XLOOKUP(C18,'X. Satser pensjonstilskudd'!$C$5:$C$224,'X. Satser pensjonstilskudd'!$I$5:$I$224)</f>
        <v>#DIV/0!</v>
      </c>
      <c r="L18" s="173" t="e">
        <f t="shared" si="2"/>
        <v>#DIV/0!</v>
      </c>
      <c r="M18" s="147">
        <f t="shared" si="3"/>
        <v>0</v>
      </c>
      <c r="N18" s="32">
        <f>IFERROR(M18*'0. Oppsett'!$C$30,0)</f>
        <v>0</v>
      </c>
      <c r="O18" s="33">
        <v>0</v>
      </c>
      <c r="P18" s="33"/>
      <c r="Q18" s="33"/>
      <c r="R18" s="33"/>
      <c r="S18" s="33">
        <v>0</v>
      </c>
      <c r="T18" s="34">
        <v>0</v>
      </c>
      <c r="U18" s="35">
        <f t="shared" si="4"/>
        <v>0</v>
      </c>
    </row>
    <row r="19" spans="1:21" ht="15.75" thickBot="1" x14ac:dyDescent="0.3">
      <c r="A19" s="17">
        <v>15</v>
      </c>
      <c r="B19" s="150">
        <f>'X. Satser pensjonstilskudd'!B19</f>
        <v>0</v>
      </c>
      <c r="C19" s="18">
        <f>'X. Satser pensjonstilskudd'!C19</f>
        <v>0</v>
      </c>
      <c r="D19" s="18" t="str">
        <f>IFERROR(_xlfn.XLOOKUP($C19,factPensjon[Virksomhetsnr.],factPensjon[Forpliktelser]),"")</f>
        <v/>
      </c>
      <c r="E19" s="148">
        <f>SUMIFS(BasilRadata[Heltidsplasser
0-2],BasilRadata[År],'0. Oppsett'!$C$7-1,BasilRadata[1B. Organisasjonsnummer:],$C19)</f>
        <v>0</v>
      </c>
      <c r="F19" s="25">
        <f>'4. Selvkost og satser'!$B$54</f>
        <v>288170.9461329499</v>
      </c>
      <c r="G19" s="148">
        <f>SUMIFS(BasilRadata[Heltidsplasser
3-6],BasilRadata[År],'0. Oppsett'!$C$7-1,BasilRadata[1B. Organisasjonsnummer:],$C19)</f>
        <v>0</v>
      </c>
      <c r="H19" s="25">
        <f>'4. Selvkost og satser'!$B$55</f>
        <v>156604.23359926464</v>
      </c>
      <c r="I19" s="172">
        <f t="shared" si="1"/>
        <v>0</v>
      </c>
      <c r="J19" s="176">
        <f>SUMIFS(BasilRadata[8E. Oppgi antall årsverk barnehagen har pensjonsforpliktelser for:],BasilRadata[År],'0. Oppsett'!$C$7-1,BasilRadata[1B. Organisasjonsnummer:],'X. Utbetalingsmodul'!$C19)</f>
        <v>0</v>
      </c>
      <c r="K19" s="172" t="e">
        <f>_xlfn.XLOOKUP(C19,'X. Satser pensjonstilskudd'!$C$5:$C$224,'X. Satser pensjonstilskudd'!$I$5:$I$224)</f>
        <v>#DIV/0!</v>
      </c>
      <c r="L19" s="173" t="e">
        <f t="shared" si="2"/>
        <v>#DIV/0!</v>
      </c>
      <c r="M19" s="147">
        <f t="shared" si="3"/>
        <v>0</v>
      </c>
      <c r="N19" s="32">
        <f>IFERROR(M19*'0. Oppsett'!$C$30,0)</f>
        <v>0</v>
      </c>
      <c r="O19" s="33">
        <v>0</v>
      </c>
      <c r="P19" s="33"/>
      <c r="Q19" s="33"/>
      <c r="R19" s="33"/>
      <c r="S19" s="33">
        <v>0</v>
      </c>
      <c r="T19" s="34">
        <v>0</v>
      </c>
      <c r="U19" s="35">
        <f t="shared" si="4"/>
        <v>0</v>
      </c>
    </row>
    <row r="20" spans="1:21" ht="15.75" thickBot="1" x14ac:dyDescent="0.3">
      <c r="A20" s="21">
        <v>16</v>
      </c>
      <c r="B20" s="150">
        <f>'X. Satser pensjonstilskudd'!B20</f>
        <v>0</v>
      </c>
      <c r="C20" s="18">
        <f>'X. Satser pensjonstilskudd'!C20</f>
        <v>0</v>
      </c>
      <c r="D20" s="18" t="str">
        <f>IFERROR(_xlfn.XLOOKUP($C20,factPensjon[Virksomhetsnr.],factPensjon[Forpliktelser]),"")</f>
        <v/>
      </c>
      <c r="E20" s="148">
        <f>SUMIFS(BasilRadata[Heltidsplasser
0-2],BasilRadata[År],'0. Oppsett'!$C$7-1,BasilRadata[1B. Organisasjonsnummer:],$C20)</f>
        <v>0</v>
      </c>
      <c r="F20" s="25">
        <f>'4. Selvkost og satser'!$B$54</f>
        <v>288170.9461329499</v>
      </c>
      <c r="G20" s="148">
        <f>SUMIFS(BasilRadata[Heltidsplasser
3-6],BasilRadata[År],'0. Oppsett'!$C$7-1,BasilRadata[1B. Organisasjonsnummer:],$C20)</f>
        <v>0</v>
      </c>
      <c r="H20" s="25">
        <f>'4. Selvkost og satser'!$B$55</f>
        <v>156604.23359926464</v>
      </c>
      <c r="I20" s="172">
        <f t="shared" si="1"/>
        <v>0</v>
      </c>
      <c r="J20" s="176">
        <f>SUMIFS(BasilRadata[8E. Oppgi antall årsverk barnehagen har pensjonsforpliktelser for:],BasilRadata[År],'0. Oppsett'!$C$7-1,BasilRadata[1B. Organisasjonsnummer:],'X. Utbetalingsmodul'!$C20)</f>
        <v>0</v>
      </c>
      <c r="K20" s="172" t="e">
        <f>_xlfn.XLOOKUP(C20,'X. Satser pensjonstilskudd'!$C$5:$C$224,'X. Satser pensjonstilskudd'!$I$5:$I$224)</f>
        <v>#DIV/0!</v>
      </c>
      <c r="L20" s="173" t="e">
        <f t="shared" si="2"/>
        <v>#DIV/0!</v>
      </c>
      <c r="M20" s="147">
        <f t="shared" si="3"/>
        <v>0</v>
      </c>
      <c r="N20" s="32">
        <f>IFERROR(M20*'0. Oppsett'!$C$30,0)</f>
        <v>0</v>
      </c>
      <c r="O20" s="33">
        <v>0</v>
      </c>
      <c r="P20" s="33"/>
      <c r="Q20" s="33"/>
      <c r="R20" s="33"/>
      <c r="S20" s="33">
        <v>0</v>
      </c>
      <c r="T20" s="34">
        <v>0</v>
      </c>
      <c r="U20" s="35">
        <f t="shared" si="4"/>
        <v>0</v>
      </c>
    </row>
    <row r="21" spans="1:21" ht="15.75" thickBot="1" x14ac:dyDescent="0.3">
      <c r="A21" s="17">
        <v>17</v>
      </c>
      <c r="B21" s="150">
        <f>'X. Satser pensjonstilskudd'!B21</f>
        <v>0</v>
      </c>
      <c r="C21" s="18">
        <f>'X. Satser pensjonstilskudd'!C21</f>
        <v>0</v>
      </c>
      <c r="D21" s="18" t="str">
        <f>IFERROR(_xlfn.XLOOKUP($C21,factPensjon[Virksomhetsnr.],factPensjon[Forpliktelser]),"")</f>
        <v/>
      </c>
      <c r="E21" s="148">
        <f>SUMIFS(BasilRadata[Heltidsplasser
0-2],BasilRadata[År],'0. Oppsett'!$C$7-1,BasilRadata[1B. Organisasjonsnummer:],$C21)</f>
        <v>0</v>
      </c>
      <c r="F21" s="25">
        <f>'4. Selvkost og satser'!$B$54</f>
        <v>288170.9461329499</v>
      </c>
      <c r="G21" s="148">
        <f>SUMIFS(BasilRadata[Heltidsplasser
3-6],BasilRadata[År],'0. Oppsett'!$C$7-1,BasilRadata[1B. Organisasjonsnummer:],$C21)</f>
        <v>0</v>
      </c>
      <c r="H21" s="25">
        <f>'4. Selvkost og satser'!$B$55</f>
        <v>156604.23359926464</v>
      </c>
      <c r="I21" s="172">
        <f t="shared" si="1"/>
        <v>0</v>
      </c>
      <c r="J21" s="176">
        <f>SUMIFS(BasilRadata[8E. Oppgi antall årsverk barnehagen har pensjonsforpliktelser for:],BasilRadata[År],'0. Oppsett'!$C$7-1,BasilRadata[1B. Organisasjonsnummer:],'X. Utbetalingsmodul'!$C21)</f>
        <v>0</v>
      </c>
      <c r="K21" s="172" t="e">
        <f>_xlfn.XLOOKUP(C21,'X. Satser pensjonstilskudd'!$C$5:$C$224,'X. Satser pensjonstilskudd'!$I$5:$I$224)</f>
        <v>#DIV/0!</v>
      </c>
      <c r="L21" s="173" t="e">
        <f t="shared" si="2"/>
        <v>#DIV/0!</v>
      </c>
      <c r="M21" s="147">
        <f t="shared" si="3"/>
        <v>0</v>
      </c>
      <c r="N21" s="32">
        <f>IFERROR(M21*'0. Oppsett'!$C$30,0)</f>
        <v>0</v>
      </c>
      <c r="O21" s="33">
        <v>0</v>
      </c>
      <c r="P21" s="33"/>
      <c r="Q21" s="33"/>
      <c r="R21" s="33"/>
      <c r="S21" s="33">
        <v>0</v>
      </c>
      <c r="T21" s="34">
        <v>0</v>
      </c>
      <c r="U21" s="35">
        <f t="shared" si="4"/>
        <v>0</v>
      </c>
    </row>
    <row r="22" spans="1:21" ht="15.75" thickBot="1" x14ac:dyDescent="0.3">
      <c r="A22" s="21">
        <v>18</v>
      </c>
      <c r="B22" s="150">
        <f>'X. Satser pensjonstilskudd'!B22</f>
        <v>0</v>
      </c>
      <c r="C22" s="18">
        <f>'X. Satser pensjonstilskudd'!C22</f>
        <v>0</v>
      </c>
      <c r="D22" s="18" t="str">
        <f>IFERROR(_xlfn.XLOOKUP($C22,factPensjon[Virksomhetsnr.],factPensjon[Forpliktelser]),"")</f>
        <v/>
      </c>
      <c r="E22" s="148">
        <f>SUMIFS(BasilRadata[Heltidsplasser
0-2],BasilRadata[År],'0. Oppsett'!$C$7-1,BasilRadata[1B. Organisasjonsnummer:],$C22)</f>
        <v>0</v>
      </c>
      <c r="F22" s="25">
        <f>'4. Selvkost og satser'!$B$54</f>
        <v>288170.9461329499</v>
      </c>
      <c r="G22" s="148">
        <f>SUMIFS(BasilRadata[Heltidsplasser
3-6],BasilRadata[År],'0. Oppsett'!$C$7-1,BasilRadata[1B. Organisasjonsnummer:],$C22)</f>
        <v>0</v>
      </c>
      <c r="H22" s="25">
        <f>'4. Selvkost og satser'!$B$55</f>
        <v>156604.23359926464</v>
      </c>
      <c r="I22" s="172">
        <f t="shared" si="1"/>
        <v>0</v>
      </c>
      <c r="J22" s="176">
        <f>SUMIFS(BasilRadata[8E. Oppgi antall årsverk barnehagen har pensjonsforpliktelser for:],BasilRadata[År],'0. Oppsett'!$C$7-1,BasilRadata[1B. Organisasjonsnummer:],'X. Utbetalingsmodul'!$C22)</f>
        <v>0</v>
      </c>
      <c r="K22" s="172" t="e">
        <f>_xlfn.XLOOKUP(C22,'X. Satser pensjonstilskudd'!$C$5:$C$224,'X. Satser pensjonstilskudd'!$I$5:$I$224)</f>
        <v>#DIV/0!</v>
      </c>
      <c r="L22" s="173" t="e">
        <f t="shared" si="2"/>
        <v>#DIV/0!</v>
      </c>
      <c r="M22" s="147">
        <f t="shared" si="3"/>
        <v>0</v>
      </c>
      <c r="N22" s="32">
        <f>IFERROR(M22*'0. Oppsett'!$C$30,0)</f>
        <v>0</v>
      </c>
      <c r="O22" s="33">
        <v>0</v>
      </c>
      <c r="P22" s="33"/>
      <c r="Q22" s="33"/>
      <c r="R22" s="33"/>
      <c r="S22" s="33">
        <v>0</v>
      </c>
      <c r="T22" s="34">
        <v>0</v>
      </c>
      <c r="U22" s="35">
        <f t="shared" si="4"/>
        <v>0</v>
      </c>
    </row>
    <row r="23" spans="1:21" ht="15.75" thickBot="1" x14ac:dyDescent="0.3">
      <c r="A23" s="17">
        <v>19</v>
      </c>
      <c r="B23" s="150">
        <f>'X. Satser pensjonstilskudd'!B23</f>
        <v>0</v>
      </c>
      <c r="C23" s="18">
        <f>'X. Satser pensjonstilskudd'!C23</f>
        <v>0</v>
      </c>
      <c r="D23" s="18" t="str">
        <f>IFERROR(_xlfn.XLOOKUP($C23,factPensjon[Virksomhetsnr.],factPensjon[Forpliktelser]),"")</f>
        <v/>
      </c>
      <c r="E23" s="148">
        <f>SUMIFS(BasilRadata[Heltidsplasser
0-2],BasilRadata[År],'0. Oppsett'!$C$7-1,BasilRadata[1B. Organisasjonsnummer:],$C23)</f>
        <v>0</v>
      </c>
      <c r="F23" s="25">
        <f>'4. Selvkost og satser'!$B$54</f>
        <v>288170.9461329499</v>
      </c>
      <c r="G23" s="148">
        <f>SUMIFS(BasilRadata[Heltidsplasser
3-6],BasilRadata[År],'0. Oppsett'!$C$7-1,BasilRadata[1B. Organisasjonsnummer:],$C23)</f>
        <v>0</v>
      </c>
      <c r="H23" s="25">
        <f>'4. Selvkost og satser'!$B$55</f>
        <v>156604.23359926464</v>
      </c>
      <c r="I23" s="172">
        <f t="shared" si="1"/>
        <v>0</v>
      </c>
      <c r="J23" s="176">
        <f>SUMIFS(BasilRadata[8E. Oppgi antall årsverk barnehagen har pensjonsforpliktelser for:],BasilRadata[År],'0. Oppsett'!$C$7-1,BasilRadata[1B. Organisasjonsnummer:],'X. Utbetalingsmodul'!$C23)</f>
        <v>0</v>
      </c>
      <c r="K23" s="172" t="e">
        <f>_xlfn.XLOOKUP(C23,'X. Satser pensjonstilskudd'!$C$5:$C$224,'X. Satser pensjonstilskudd'!$I$5:$I$224)</f>
        <v>#DIV/0!</v>
      </c>
      <c r="L23" s="173" t="e">
        <f t="shared" si="2"/>
        <v>#DIV/0!</v>
      </c>
      <c r="M23" s="147">
        <f t="shared" si="3"/>
        <v>0</v>
      </c>
      <c r="N23" s="32">
        <f>IFERROR(M23*'0. Oppsett'!$C$30,0)</f>
        <v>0</v>
      </c>
      <c r="O23" s="33">
        <v>0</v>
      </c>
      <c r="P23" s="33"/>
      <c r="Q23" s="33"/>
      <c r="R23" s="33"/>
      <c r="S23" s="33">
        <v>0</v>
      </c>
      <c r="T23" s="34">
        <v>0</v>
      </c>
      <c r="U23" s="35">
        <f t="shared" si="4"/>
        <v>0</v>
      </c>
    </row>
    <row r="24" spans="1:21" ht="15.75" thickBot="1" x14ac:dyDescent="0.3">
      <c r="A24" s="21">
        <v>20</v>
      </c>
      <c r="B24" s="150">
        <f>'X. Satser pensjonstilskudd'!B24</f>
        <v>0</v>
      </c>
      <c r="C24" s="18">
        <f>'X. Satser pensjonstilskudd'!C24</f>
        <v>0</v>
      </c>
      <c r="D24" s="18" t="str">
        <f>IFERROR(_xlfn.XLOOKUP($C24,factPensjon[Virksomhetsnr.],factPensjon[Forpliktelser]),"")</f>
        <v/>
      </c>
      <c r="E24" s="148">
        <f>SUMIFS(BasilRadata[Heltidsplasser
0-2],BasilRadata[År],'0. Oppsett'!$C$7-1,BasilRadata[1B. Organisasjonsnummer:],$C24)</f>
        <v>0</v>
      </c>
      <c r="F24" s="25">
        <f>'4. Selvkost og satser'!$B$54</f>
        <v>288170.9461329499</v>
      </c>
      <c r="G24" s="148">
        <f>SUMIFS(BasilRadata[Heltidsplasser
3-6],BasilRadata[År],'0. Oppsett'!$C$7-1,BasilRadata[1B. Organisasjonsnummer:],$C24)</f>
        <v>0</v>
      </c>
      <c r="H24" s="25">
        <f>'4. Selvkost og satser'!$B$55</f>
        <v>156604.23359926464</v>
      </c>
      <c r="I24" s="172">
        <f t="shared" si="1"/>
        <v>0</v>
      </c>
      <c r="J24" s="176">
        <f>SUMIFS(BasilRadata[8E. Oppgi antall årsverk barnehagen har pensjonsforpliktelser for:],BasilRadata[År],'0. Oppsett'!$C$7-1,BasilRadata[1B. Organisasjonsnummer:],'X. Utbetalingsmodul'!$C24)</f>
        <v>0</v>
      </c>
      <c r="K24" s="172" t="e">
        <f>_xlfn.XLOOKUP(C24,'X. Satser pensjonstilskudd'!$C$5:$C$224,'X. Satser pensjonstilskudd'!$I$5:$I$224)</f>
        <v>#DIV/0!</v>
      </c>
      <c r="L24" s="173" t="e">
        <f t="shared" si="2"/>
        <v>#DIV/0!</v>
      </c>
      <c r="M24" s="147">
        <f t="shared" si="3"/>
        <v>0</v>
      </c>
      <c r="N24" s="32">
        <f>IFERROR(M24*'0. Oppsett'!$C$30,0)</f>
        <v>0</v>
      </c>
      <c r="O24" s="33">
        <v>0</v>
      </c>
      <c r="P24" s="33"/>
      <c r="Q24" s="33"/>
      <c r="R24" s="33"/>
      <c r="S24" s="33">
        <v>0</v>
      </c>
      <c r="T24" s="34">
        <v>0</v>
      </c>
      <c r="U24" s="35">
        <f t="shared" si="4"/>
        <v>0</v>
      </c>
    </row>
    <row r="25" spans="1:21" ht="15.75" thickBot="1" x14ac:dyDescent="0.3">
      <c r="A25" s="17">
        <v>21</v>
      </c>
      <c r="B25" s="150">
        <f>'X. Satser pensjonstilskudd'!B25</f>
        <v>0</v>
      </c>
      <c r="C25" s="18">
        <f>'X. Satser pensjonstilskudd'!C25</f>
        <v>0</v>
      </c>
      <c r="D25" s="18" t="str">
        <f>IFERROR(_xlfn.XLOOKUP($C25,factPensjon[Virksomhetsnr.],factPensjon[Forpliktelser]),"")</f>
        <v/>
      </c>
      <c r="E25" s="148">
        <f>SUMIFS(BasilRadata[Heltidsplasser
0-2],BasilRadata[År],'0. Oppsett'!$C$7-1,BasilRadata[1B. Organisasjonsnummer:],$C25)</f>
        <v>0</v>
      </c>
      <c r="F25" s="25">
        <f>'4. Selvkost og satser'!$B$54</f>
        <v>288170.9461329499</v>
      </c>
      <c r="G25" s="148">
        <f>SUMIFS(BasilRadata[Heltidsplasser
3-6],BasilRadata[År],'0. Oppsett'!$C$7-1,BasilRadata[1B. Organisasjonsnummer:],$C25)</f>
        <v>0</v>
      </c>
      <c r="H25" s="25">
        <f>'4. Selvkost og satser'!$B$55</f>
        <v>156604.23359926464</v>
      </c>
      <c r="I25" s="172">
        <f t="shared" si="1"/>
        <v>0</v>
      </c>
      <c r="J25" s="176">
        <f>SUMIFS(BasilRadata[8E. Oppgi antall årsverk barnehagen har pensjonsforpliktelser for:],BasilRadata[År],'0. Oppsett'!$C$7-1,BasilRadata[1B. Organisasjonsnummer:],'X. Utbetalingsmodul'!$C25)</f>
        <v>0</v>
      </c>
      <c r="K25" s="172" t="e">
        <f>_xlfn.XLOOKUP(C25,'X. Satser pensjonstilskudd'!$C$5:$C$224,'X. Satser pensjonstilskudd'!$I$5:$I$224)</f>
        <v>#DIV/0!</v>
      </c>
      <c r="L25" s="173" t="e">
        <f t="shared" si="2"/>
        <v>#DIV/0!</v>
      </c>
      <c r="M25" s="147">
        <f t="shared" si="3"/>
        <v>0</v>
      </c>
      <c r="N25" s="32">
        <f>IFERROR(M25*'0. Oppsett'!$C$30,0)</f>
        <v>0</v>
      </c>
      <c r="O25" s="33">
        <v>0</v>
      </c>
      <c r="P25" s="33"/>
      <c r="Q25" s="33"/>
      <c r="R25" s="33"/>
      <c r="S25" s="33">
        <v>0</v>
      </c>
      <c r="T25" s="34">
        <v>0</v>
      </c>
      <c r="U25" s="35">
        <f t="shared" si="4"/>
        <v>0</v>
      </c>
    </row>
    <row r="26" spans="1:21" ht="15.75" thickBot="1" x14ac:dyDescent="0.3">
      <c r="A26" s="21">
        <v>22</v>
      </c>
      <c r="B26" s="150">
        <f>'X. Satser pensjonstilskudd'!B26</f>
        <v>0</v>
      </c>
      <c r="C26" s="18">
        <f>'X. Satser pensjonstilskudd'!C26</f>
        <v>0</v>
      </c>
      <c r="D26" s="18" t="str">
        <f>IFERROR(_xlfn.XLOOKUP($C26,factPensjon[Virksomhetsnr.],factPensjon[Forpliktelser]),"")</f>
        <v/>
      </c>
      <c r="E26" s="148">
        <f>SUMIFS(BasilRadata[Heltidsplasser
0-2],BasilRadata[År],'0. Oppsett'!$C$7-1,BasilRadata[1B. Organisasjonsnummer:],$C26)</f>
        <v>0</v>
      </c>
      <c r="F26" s="25">
        <f>'4. Selvkost og satser'!$B$54</f>
        <v>288170.9461329499</v>
      </c>
      <c r="G26" s="148">
        <f>SUMIFS(BasilRadata[Heltidsplasser
3-6],BasilRadata[År],'0. Oppsett'!$C$7-1,BasilRadata[1B. Organisasjonsnummer:],$C26)</f>
        <v>0</v>
      </c>
      <c r="H26" s="25">
        <f>'4. Selvkost og satser'!$B$55</f>
        <v>156604.23359926464</v>
      </c>
      <c r="I26" s="172">
        <f t="shared" si="1"/>
        <v>0</v>
      </c>
      <c r="J26" s="176">
        <f>SUMIFS(BasilRadata[8E. Oppgi antall årsverk barnehagen har pensjonsforpliktelser for:],BasilRadata[År],'0. Oppsett'!$C$7-1,BasilRadata[1B. Organisasjonsnummer:],'X. Utbetalingsmodul'!$C26)</f>
        <v>0</v>
      </c>
      <c r="K26" s="172" t="e">
        <f>_xlfn.XLOOKUP(C26,'X. Satser pensjonstilskudd'!$C$5:$C$224,'X. Satser pensjonstilskudd'!$I$5:$I$224)</f>
        <v>#DIV/0!</v>
      </c>
      <c r="L26" s="173" t="e">
        <f t="shared" si="2"/>
        <v>#DIV/0!</v>
      </c>
      <c r="M26" s="147">
        <f t="shared" si="3"/>
        <v>0</v>
      </c>
      <c r="N26" s="32">
        <f>IFERROR(M26*'0. Oppsett'!$C$30,0)</f>
        <v>0</v>
      </c>
      <c r="O26" s="33">
        <v>0</v>
      </c>
      <c r="P26" s="33"/>
      <c r="Q26" s="33"/>
      <c r="R26" s="33"/>
      <c r="S26" s="33">
        <v>0</v>
      </c>
      <c r="T26" s="34">
        <v>0</v>
      </c>
      <c r="U26" s="35">
        <f t="shared" si="4"/>
        <v>0</v>
      </c>
    </row>
    <row r="27" spans="1:21" ht="15.75" thickBot="1" x14ac:dyDescent="0.3">
      <c r="A27" s="17">
        <v>23</v>
      </c>
      <c r="B27" s="150">
        <f>'X. Satser pensjonstilskudd'!B27</f>
        <v>0</v>
      </c>
      <c r="C27" s="18">
        <f>'X. Satser pensjonstilskudd'!C27</f>
        <v>0</v>
      </c>
      <c r="D27" s="18" t="str">
        <f>IFERROR(_xlfn.XLOOKUP($C27,factPensjon[Virksomhetsnr.],factPensjon[Forpliktelser]),"")</f>
        <v/>
      </c>
      <c r="E27" s="148">
        <f>SUMIFS(BasilRadata[Heltidsplasser
0-2],BasilRadata[År],'0. Oppsett'!$C$7-1,BasilRadata[1B. Organisasjonsnummer:],$C27)</f>
        <v>0</v>
      </c>
      <c r="F27" s="25">
        <f>'4. Selvkost og satser'!$B$54</f>
        <v>288170.9461329499</v>
      </c>
      <c r="G27" s="148">
        <f>SUMIFS(BasilRadata[Heltidsplasser
3-6],BasilRadata[År],'0. Oppsett'!$C$7-1,BasilRadata[1B. Organisasjonsnummer:],$C27)</f>
        <v>0</v>
      </c>
      <c r="H27" s="25">
        <f>'4. Selvkost og satser'!$B$55</f>
        <v>156604.23359926464</v>
      </c>
      <c r="I27" s="172">
        <f t="shared" si="1"/>
        <v>0</v>
      </c>
      <c r="J27" s="176">
        <f>SUMIFS(BasilRadata[8E. Oppgi antall årsverk barnehagen har pensjonsforpliktelser for:],BasilRadata[År],'0. Oppsett'!$C$7-1,BasilRadata[1B. Organisasjonsnummer:],'X. Utbetalingsmodul'!$C27)</f>
        <v>0</v>
      </c>
      <c r="K27" s="172" t="e">
        <f>_xlfn.XLOOKUP(C27,'X. Satser pensjonstilskudd'!$C$5:$C$224,'X. Satser pensjonstilskudd'!$I$5:$I$224)</f>
        <v>#DIV/0!</v>
      </c>
      <c r="L27" s="173" t="e">
        <f t="shared" si="2"/>
        <v>#DIV/0!</v>
      </c>
      <c r="M27" s="147">
        <f t="shared" si="3"/>
        <v>0</v>
      </c>
      <c r="N27" s="32">
        <f>IFERROR(M27*'0. Oppsett'!$C$30,0)</f>
        <v>0</v>
      </c>
      <c r="O27" s="33">
        <v>0</v>
      </c>
      <c r="P27" s="33"/>
      <c r="Q27" s="33"/>
      <c r="R27" s="33"/>
      <c r="S27" s="33">
        <v>0</v>
      </c>
      <c r="T27" s="34">
        <v>0</v>
      </c>
      <c r="U27" s="35">
        <f t="shared" si="4"/>
        <v>0</v>
      </c>
    </row>
    <row r="28" spans="1:21" ht="15.75" thickBot="1" x14ac:dyDescent="0.3">
      <c r="A28" s="21">
        <v>24</v>
      </c>
      <c r="B28" s="150">
        <f>'X. Satser pensjonstilskudd'!B28</f>
        <v>0</v>
      </c>
      <c r="C28" s="18">
        <f>'X. Satser pensjonstilskudd'!C28</f>
        <v>0</v>
      </c>
      <c r="D28" s="18" t="str">
        <f>IFERROR(_xlfn.XLOOKUP($C28,factPensjon[Virksomhetsnr.],factPensjon[Forpliktelser]),"")</f>
        <v/>
      </c>
      <c r="E28" s="148">
        <f>SUMIFS(BasilRadata[Heltidsplasser
0-2],BasilRadata[År],'0. Oppsett'!$C$7-1,BasilRadata[1B. Organisasjonsnummer:],$C28)</f>
        <v>0</v>
      </c>
      <c r="F28" s="25">
        <f>'4. Selvkost og satser'!$B$54</f>
        <v>288170.9461329499</v>
      </c>
      <c r="G28" s="148">
        <f>SUMIFS(BasilRadata[Heltidsplasser
3-6],BasilRadata[År],'0. Oppsett'!$C$7-1,BasilRadata[1B. Organisasjonsnummer:],$C28)</f>
        <v>0</v>
      </c>
      <c r="H28" s="25">
        <f>'4. Selvkost og satser'!$B$55</f>
        <v>156604.23359926464</v>
      </c>
      <c r="I28" s="172">
        <f t="shared" si="1"/>
        <v>0</v>
      </c>
      <c r="J28" s="176">
        <f>SUMIFS(BasilRadata[8E. Oppgi antall årsverk barnehagen har pensjonsforpliktelser for:],BasilRadata[År],'0. Oppsett'!$C$7-1,BasilRadata[1B. Organisasjonsnummer:],'X. Utbetalingsmodul'!$C28)</f>
        <v>0</v>
      </c>
      <c r="K28" s="172" t="e">
        <f>_xlfn.XLOOKUP(C28,'X. Satser pensjonstilskudd'!$C$5:$C$224,'X. Satser pensjonstilskudd'!$I$5:$I$224)</f>
        <v>#DIV/0!</v>
      </c>
      <c r="L28" s="173" t="e">
        <f t="shared" si="2"/>
        <v>#DIV/0!</v>
      </c>
      <c r="M28" s="147">
        <f t="shared" si="3"/>
        <v>0</v>
      </c>
      <c r="N28" s="32">
        <f>IFERROR(M28*'0. Oppsett'!$C$30,0)</f>
        <v>0</v>
      </c>
      <c r="O28" s="33">
        <v>0</v>
      </c>
      <c r="P28" s="33"/>
      <c r="Q28" s="33"/>
      <c r="R28" s="33"/>
      <c r="S28" s="33">
        <v>0</v>
      </c>
      <c r="T28" s="34">
        <v>0</v>
      </c>
      <c r="U28" s="35">
        <f t="shared" si="4"/>
        <v>0</v>
      </c>
    </row>
    <row r="29" spans="1:21" ht="15.75" thickBot="1" x14ac:dyDescent="0.3">
      <c r="A29" s="17">
        <v>25</v>
      </c>
      <c r="B29" s="150">
        <f>'X. Satser pensjonstilskudd'!B29</f>
        <v>0</v>
      </c>
      <c r="C29" s="18">
        <f>'X. Satser pensjonstilskudd'!C29</f>
        <v>0</v>
      </c>
      <c r="D29" s="18" t="str">
        <f>IFERROR(_xlfn.XLOOKUP($C29,factPensjon[Virksomhetsnr.],factPensjon[Forpliktelser]),"")</f>
        <v/>
      </c>
      <c r="E29" s="148">
        <f>SUMIFS(BasilRadata[Heltidsplasser
0-2],BasilRadata[År],'0. Oppsett'!$C$7-1,BasilRadata[1B. Organisasjonsnummer:],$C29)</f>
        <v>0</v>
      </c>
      <c r="F29" s="25">
        <f>'4. Selvkost og satser'!$B$54</f>
        <v>288170.9461329499</v>
      </c>
      <c r="G29" s="148">
        <f>SUMIFS(BasilRadata[Heltidsplasser
3-6],BasilRadata[År],'0. Oppsett'!$C$7-1,BasilRadata[1B. Organisasjonsnummer:],$C29)</f>
        <v>0</v>
      </c>
      <c r="H29" s="25">
        <f>'4. Selvkost og satser'!$B$55</f>
        <v>156604.23359926464</v>
      </c>
      <c r="I29" s="172">
        <f t="shared" si="1"/>
        <v>0</v>
      </c>
      <c r="J29" s="176">
        <f>SUMIFS(BasilRadata[8E. Oppgi antall årsverk barnehagen har pensjonsforpliktelser for:],BasilRadata[År],'0. Oppsett'!$C$7-1,BasilRadata[1B. Organisasjonsnummer:],'X. Utbetalingsmodul'!$C29)</f>
        <v>0</v>
      </c>
      <c r="K29" s="172" t="e">
        <f>_xlfn.XLOOKUP(C29,'X. Satser pensjonstilskudd'!$C$5:$C$224,'X. Satser pensjonstilskudd'!$I$5:$I$224)</f>
        <v>#DIV/0!</v>
      </c>
      <c r="L29" s="173" t="e">
        <f t="shared" si="2"/>
        <v>#DIV/0!</v>
      </c>
      <c r="M29" s="147">
        <f t="shared" si="3"/>
        <v>0</v>
      </c>
      <c r="N29" s="32">
        <f>IFERROR(M29*'0. Oppsett'!$C$30,0)</f>
        <v>0</v>
      </c>
      <c r="O29" s="33">
        <v>0</v>
      </c>
      <c r="P29" s="33"/>
      <c r="Q29" s="33"/>
      <c r="R29" s="33"/>
      <c r="S29" s="33">
        <v>0</v>
      </c>
      <c r="T29" s="34">
        <v>0</v>
      </c>
      <c r="U29" s="35">
        <f t="shared" si="4"/>
        <v>0</v>
      </c>
    </row>
    <row r="30" spans="1:21" ht="15.75" thickBot="1" x14ac:dyDescent="0.3">
      <c r="A30" s="21">
        <v>26</v>
      </c>
      <c r="B30" s="150">
        <f>'X. Satser pensjonstilskudd'!B30</f>
        <v>0</v>
      </c>
      <c r="C30" s="18">
        <f>'X. Satser pensjonstilskudd'!C30</f>
        <v>0</v>
      </c>
      <c r="D30" s="18" t="str">
        <f>IFERROR(_xlfn.XLOOKUP($C30,factPensjon[Virksomhetsnr.],factPensjon[Forpliktelser]),"")</f>
        <v/>
      </c>
      <c r="E30" s="148">
        <f>SUMIFS(BasilRadata[Heltidsplasser
0-2],BasilRadata[År],'0. Oppsett'!$C$7-1,BasilRadata[1B. Organisasjonsnummer:],$C30)</f>
        <v>0</v>
      </c>
      <c r="F30" s="25">
        <f>'4. Selvkost og satser'!$B$54</f>
        <v>288170.9461329499</v>
      </c>
      <c r="G30" s="148">
        <f>SUMIFS(BasilRadata[Heltidsplasser
3-6],BasilRadata[År],'0. Oppsett'!$C$7-1,BasilRadata[1B. Organisasjonsnummer:],$C30)</f>
        <v>0</v>
      </c>
      <c r="H30" s="25">
        <f>'4. Selvkost og satser'!$B$55</f>
        <v>156604.23359926464</v>
      </c>
      <c r="I30" s="172">
        <f t="shared" si="1"/>
        <v>0</v>
      </c>
      <c r="J30" s="176">
        <f>SUMIFS(BasilRadata[8E. Oppgi antall årsverk barnehagen har pensjonsforpliktelser for:],BasilRadata[År],'0. Oppsett'!$C$7-1,BasilRadata[1B. Organisasjonsnummer:],'X. Utbetalingsmodul'!$C30)</f>
        <v>0</v>
      </c>
      <c r="K30" s="172" t="e">
        <f>_xlfn.XLOOKUP(C30,'X. Satser pensjonstilskudd'!$C$5:$C$224,'X. Satser pensjonstilskudd'!$I$5:$I$224)</f>
        <v>#DIV/0!</v>
      </c>
      <c r="L30" s="173" t="e">
        <f t="shared" si="2"/>
        <v>#DIV/0!</v>
      </c>
      <c r="M30" s="147">
        <f t="shared" si="3"/>
        <v>0</v>
      </c>
      <c r="N30" s="32">
        <f>IFERROR(M30*'0. Oppsett'!$C$30,0)</f>
        <v>0</v>
      </c>
      <c r="O30" s="33">
        <v>0</v>
      </c>
      <c r="P30" s="33"/>
      <c r="Q30" s="33"/>
      <c r="R30" s="33"/>
      <c r="S30" s="33">
        <v>0</v>
      </c>
      <c r="T30" s="34">
        <v>0</v>
      </c>
      <c r="U30" s="35">
        <f t="shared" si="4"/>
        <v>0</v>
      </c>
    </row>
    <row r="31" spans="1:21" ht="15.75" thickBot="1" x14ac:dyDescent="0.3">
      <c r="A31" s="17">
        <v>27</v>
      </c>
      <c r="B31" s="150">
        <f>'X. Satser pensjonstilskudd'!B31</f>
        <v>0</v>
      </c>
      <c r="C31" s="18">
        <f>'X. Satser pensjonstilskudd'!C31</f>
        <v>0</v>
      </c>
      <c r="D31" s="18" t="str">
        <f>IFERROR(_xlfn.XLOOKUP($C31,factPensjon[Virksomhetsnr.],factPensjon[Forpliktelser]),"")</f>
        <v/>
      </c>
      <c r="E31" s="148">
        <f>SUMIFS(BasilRadata[Heltidsplasser
0-2],BasilRadata[År],'0. Oppsett'!$C$7-1,BasilRadata[1B. Organisasjonsnummer:],$C31)</f>
        <v>0</v>
      </c>
      <c r="F31" s="25">
        <f>'4. Selvkost og satser'!$B$54</f>
        <v>288170.9461329499</v>
      </c>
      <c r="G31" s="148">
        <f>SUMIFS(BasilRadata[Heltidsplasser
3-6],BasilRadata[År],'0. Oppsett'!$C$7-1,BasilRadata[1B. Organisasjonsnummer:],$C31)</f>
        <v>0</v>
      </c>
      <c r="H31" s="25">
        <f>'4. Selvkost og satser'!$B$55</f>
        <v>156604.23359926464</v>
      </c>
      <c r="I31" s="172">
        <f t="shared" si="1"/>
        <v>0</v>
      </c>
      <c r="J31" s="176">
        <f>SUMIFS(BasilRadata[8E. Oppgi antall årsverk barnehagen har pensjonsforpliktelser for:],BasilRadata[År],'0. Oppsett'!$C$7-1,BasilRadata[1B. Organisasjonsnummer:],'X. Utbetalingsmodul'!$C31)</f>
        <v>0</v>
      </c>
      <c r="K31" s="172" t="e">
        <f>_xlfn.XLOOKUP(C31,'X. Satser pensjonstilskudd'!$C$5:$C$224,'X. Satser pensjonstilskudd'!$I$5:$I$224)</f>
        <v>#DIV/0!</v>
      </c>
      <c r="L31" s="173" t="e">
        <f t="shared" si="2"/>
        <v>#DIV/0!</v>
      </c>
      <c r="M31" s="147">
        <f t="shared" si="3"/>
        <v>0</v>
      </c>
      <c r="N31" s="32">
        <f>IFERROR(M31*'0. Oppsett'!$C$30,0)</f>
        <v>0</v>
      </c>
      <c r="O31" s="33">
        <v>0</v>
      </c>
      <c r="P31" s="33"/>
      <c r="Q31" s="33"/>
      <c r="R31" s="33"/>
      <c r="S31" s="33">
        <v>0</v>
      </c>
      <c r="T31" s="34">
        <v>0</v>
      </c>
      <c r="U31" s="35">
        <f t="shared" si="4"/>
        <v>0</v>
      </c>
    </row>
    <row r="32" spans="1:21" ht="15.75" thickBot="1" x14ac:dyDescent="0.3">
      <c r="A32" s="21">
        <v>28</v>
      </c>
      <c r="B32" s="150">
        <f>'X. Satser pensjonstilskudd'!B32</f>
        <v>0</v>
      </c>
      <c r="C32" s="18">
        <f>'X. Satser pensjonstilskudd'!C32</f>
        <v>0</v>
      </c>
      <c r="D32" s="18" t="str">
        <f>IFERROR(_xlfn.XLOOKUP($C32,factPensjon[Virksomhetsnr.],factPensjon[Forpliktelser]),"")</f>
        <v/>
      </c>
      <c r="E32" s="148">
        <f>SUMIFS(BasilRadata[Heltidsplasser
0-2],BasilRadata[År],'0. Oppsett'!$C$7-1,BasilRadata[1B. Organisasjonsnummer:],$C32)</f>
        <v>0</v>
      </c>
      <c r="F32" s="25">
        <f>'4. Selvkost og satser'!$B$54</f>
        <v>288170.9461329499</v>
      </c>
      <c r="G32" s="148">
        <f>SUMIFS(BasilRadata[Heltidsplasser
3-6],BasilRadata[År],'0. Oppsett'!$C$7-1,BasilRadata[1B. Organisasjonsnummer:],$C32)</f>
        <v>0</v>
      </c>
      <c r="H32" s="25">
        <f>'4. Selvkost og satser'!$B$55</f>
        <v>156604.23359926464</v>
      </c>
      <c r="I32" s="172">
        <f t="shared" si="1"/>
        <v>0</v>
      </c>
      <c r="J32" s="176">
        <f>SUMIFS(BasilRadata[8E. Oppgi antall årsverk barnehagen har pensjonsforpliktelser for:],BasilRadata[År],'0. Oppsett'!$C$7-1,BasilRadata[1B. Organisasjonsnummer:],'X. Utbetalingsmodul'!$C32)</f>
        <v>0</v>
      </c>
      <c r="K32" s="172" t="e">
        <f>_xlfn.XLOOKUP(C32,'X. Satser pensjonstilskudd'!$C$5:$C$224,'X. Satser pensjonstilskudd'!$I$5:$I$224)</f>
        <v>#DIV/0!</v>
      </c>
      <c r="L32" s="173" t="e">
        <f t="shared" si="2"/>
        <v>#DIV/0!</v>
      </c>
      <c r="M32" s="147">
        <f t="shared" si="3"/>
        <v>0</v>
      </c>
      <c r="N32" s="32">
        <f>IFERROR(M32*'0. Oppsett'!$C$30,0)</f>
        <v>0</v>
      </c>
      <c r="O32" s="33">
        <v>0</v>
      </c>
      <c r="P32" s="33"/>
      <c r="Q32" s="33"/>
      <c r="R32" s="33"/>
      <c r="S32" s="33">
        <v>0</v>
      </c>
      <c r="T32" s="34">
        <v>0</v>
      </c>
      <c r="U32" s="35">
        <f t="shared" si="4"/>
        <v>0</v>
      </c>
    </row>
    <row r="33" spans="1:21" ht="15.75" thickBot="1" x14ac:dyDescent="0.3">
      <c r="A33" s="17">
        <v>29</v>
      </c>
      <c r="B33" s="150">
        <f>'X. Satser pensjonstilskudd'!B33</f>
        <v>0</v>
      </c>
      <c r="C33" s="18">
        <f>'X. Satser pensjonstilskudd'!C33</f>
        <v>0</v>
      </c>
      <c r="D33" s="18" t="str">
        <f>IFERROR(_xlfn.XLOOKUP($C33,factPensjon[Virksomhetsnr.],factPensjon[Forpliktelser]),"")</f>
        <v/>
      </c>
      <c r="E33" s="148">
        <f>SUMIFS(BasilRadata[Heltidsplasser
0-2],BasilRadata[År],'0. Oppsett'!$C$7-1,BasilRadata[1B. Organisasjonsnummer:],$C33)</f>
        <v>0</v>
      </c>
      <c r="F33" s="25">
        <f>'4. Selvkost og satser'!$B$54</f>
        <v>288170.9461329499</v>
      </c>
      <c r="G33" s="148">
        <f>SUMIFS(BasilRadata[Heltidsplasser
3-6],BasilRadata[År],'0. Oppsett'!$C$7-1,BasilRadata[1B. Organisasjonsnummer:],$C33)</f>
        <v>0</v>
      </c>
      <c r="H33" s="25">
        <f>'4. Selvkost og satser'!$B$55</f>
        <v>156604.23359926464</v>
      </c>
      <c r="I33" s="172">
        <f t="shared" si="1"/>
        <v>0</v>
      </c>
      <c r="J33" s="176">
        <f>SUMIFS(BasilRadata[8E. Oppgi antall årsverk barnehagen har pensjonsforpliktelser for:],BasilRadata[År],'0. Oppsett'!$C$7-1,BasilRadata[1B. Organisasjonsnummer:],'X. Utbetalingsmodul'!$C33)</f>
        <v>0</v>
      </c>
      <c r="K33" s="172" t="e">
        <f>_xlfn.XLOOKUP(C33,'X. Satser pensjonstilskudd'!$C$5:$C$224,'X. Satser pensjonstilskudd'!$I$5:$I$224)</f>
        <v>#DIV/0!</v>
      </c>
      <c r="L33" s="173" t="e">
        <f t="shared" si="2"/>
        <v>#DIV/0!</v>
      </c>
      <c r="M33" s="147">
        <f t="shared" si="3"/>
        <v>0</v>
      </c>
      <c r="N33" s="32">
        <f>IFERROR(M33*'0. Oppsett'!$C$30,0)</f>
        <v>0</v>
      </c>
      <c r="O33" s="33">
        <v>0</v>
      </c>
      <c r="P33" s="33"/>
      <c r="Q33" s="33"/>
      <c r="R33" s="33"/>
      <c r="S33" s="33">
        <v>0</v>
      </c>
      <c r="T33" s="34">
        <v>0</v>
      </c>
      <c r="U33" s="35">
        <f t="shared" si="4"/>
        <v>0</v>
      </c>
    </row>
    <row r="34" spans="1:21" ht="15.75" thickBot="1" x14ac:dyDescent="0.3">
      <c r="A34" s="21">
        <v>30</v>
      </c>
      <c r="B34" s="150">
        <f>'X. Satser pensjonstilskudd'!B34</f>
        <v>0</v>
      </c>
      <c r="C34" s="18">
        <f>'X. Satser pensjonstilskudd'!C34</f>
        <v>0</v>
      </c>
      <c r="D34" s="18" t="str">
        <f>IFERROR(_xlfn.XLOOKUP($C34,factPensjon[Virksomhetsnr.],factPensjon[Forpliktelser]),"")</f>
        <v/>
      </c>
      <c r="E34" s="148">
        <f>SUMIFS(BasilRadata[Heltidsplasser
0-2],BasilRadata[År],'0. Oppsett'!$C$7-1,BasilRadata[1B. Organisasjonsnummer:],$C34)</f>
        <v>0</v>
      </c>
      <c r="F34" s="25">
        <f>'4. Selvkost og satser'!$B$54</f>
        <v>288170.9461329499</v>
      </c>
      <c r="G34" s="148">
        <f>SUMIFS(BasilRadata[Heltidsplasser
3-6],BasilRadata[År],'0. Oppsett'!$C$7-1,BasilRadata[1B. Organisasjonsnummer:],$C34)</f>
        <v>0</v>
      </c>
      <c r="H34" s="25">
        <f>'4. Selvkost og satser'!$B$55</f>
        <v>156604.23359926464</v>
      </c>
      <c r="I34" s="172">
        <f t="shared" si="1"/>
        <v>0</v>
      </c>
      <c r="J34" s="176">
        <f>SUMIFS(BasilRadata[8E. Oppgi antall årsverk barnehagen har pensjonsforpliktelser for:],BasilRadata[År],'0. Oppsett'!$C$7-1,BasilRadata[1B. Organisasjonsnummer:],'X. Utbetalingsmodul'!$C34)</f>
        <v>0</v>
      </c>
      <c r="K34" s="172" t="e">
        <f>_xlfn.XLOOKUP(C34,'X. Satser pensjonstilskudd'!$C$5:$C$224,'X. Satser pensjonstilskudd'!$I$5:$I$224)</f>
        <v>#DIV/0!</v>
      </c>
      <c r="L34" s="173" t="e">
        <f t="shared" si="2"/>
        <v>#DIV/0!</v>
      </c>
      <c r="M34" s="147">
        <f t="shared" si="3"/>
        <v>0</v>
      </c>
      <c r="N34" s="32">
        <f>IFERROR(M34*'0. Oppsett'!$C$30,0)</f>
        <v>0</v>
      </c>
      <c r="O34" s="33">
        <v>0</v>
      </c>
      <c r="P34" s="33"/>
      <c r="Q34" s="33"/>
      <c r="R34" s="33"/>
      <c r="S34" s="33">
        <v>0</v>
      </c>
      <c r="T34" s="34">
        <v>0</v>
      </c>
      <c r="U34" s="35">
        <f t="shared" si="4"/>
        <v>0</v>
      </c>
    </row>
    <row r="35" spans="1:21" ht="15.75" thickBot="1" x14ac:dyDescent="0.3">
      <c r="A35" s="17">
        <v>31</v>
      </c>
      <c r="B35" s="150">
        <f>'X. Satser pensjonstilskudd'!B35</f>
        <v>0</v>
      </c>
      <c r="C35" s="18">
        <f>'X. Satser pensjonstilskudd'!C35</f>
        <v>0</v>
      </c>
      <c r="D35" s="18" t="str">
        <f>IFERROR(_xlfn.XLOOKUP($C35,factPensjon[Virksomhetsnr.],factPensjon[Forpliktelser]),"")</f>
        <v/>
      </c>
      <c r="E35" s="148">
        <f>SUMIFS(BasilRadata[Heltidsplasser
0-2],BasilRadata[År],'0. Oppsett'!$C$7-1,BasilRadata[1B. Organisasjonsnummer:],$C35)</f>
        <v>0</v>
      </c>
      <c r="F35" s="25">
        <f>'4. Selvkost og satser'!$B$54</f>
        <v>288170.9461329499</v>
      </c>
      <c r="G35" s="148">
        <f>SUMIFS(BasilRadata[Heltidsplasser
3-6],BasilRadata[År],'0. Oppsett'!$C$7-1,BasilRadata[1B. Organisasjonsnummer:],$C35)</f>
        <v>0</v>
      </c>
      <c r="H35" s="25">
        <f>'4. Selvkost og satser'!$B$55</f>
        <v>156604.23359926464</v>
      </c>
      <c r="I35" s="172">
        <f t="shared" si="1"/>
        <v>0</v>
      </c>
      <c r="J35" s="176">
        <f>SUMIFS(BasilRadata[8E. Oppgi antall årsverk barnehagen har pensjonsforpliktelser for:],BasilRadata[År],'0. Oppsett'!$C$7-1,BasilRadata[1B. Organisasjonsnummer:],'X. Utbetalingsmodul'!$C35)</f>
        <v>0</v>
      </c>
      <c r="K35" s="172" t="e">
        <f>_xlfn.XLOOKUP(C35,'X. Satser pensjonstilskudd'!$C$5:$C$224,'X. Satser pensjonstilskudd'!$I$5:$I$224)</f>
        <v>#DIV/0!</v>
      </c>
      <c r="L35" s="173" t="e">
        <f t="shared" si="2"/>
        <v>#DIV/0!</v>
      </c>
      <c r="M35" s="147">
        <f t="shared" si="3"/>
        <v>0</v>
      </c>
      <c r="N35" s="32">
        <f>IFERROR(M35*'0. Oppsett'!$C$30,0)</f>
        <v>0</v>
      </c>
      <c r="O35" s="33">
        <v>0</v>
      </c>
      <c r="P35" s="33"/>
      <c r="Q35" s="33"/>
      <c r="R35" s="33"/>
      <c r="S35" s="33">
        <v>0</v>
      </c>
      <c r="T35" s="34">
        <v>0</v>
      </c>
      <c r="U35" s="35">
        <f t="shared" si="4"/>
        <v>0</v>
      </c>
    </row>
    <row r="36" spans="1:21" ht="15.75" thickBot="1" x14ac:dyDescent="0.3">
      <c r="A36" s="21">
        <v>32</v>
      </c>
      <c r="B36" s="150">
        <f>'X. Satser pensjonstilskudd'!B36</f>
        <v>0</v>
      </c>
      <c r="C36" s="18">
        <f>'X. Satser pensjonstilskudd'!C36</f>
        <v>0</v>
      </c>
      <c r="D36" s="18" t="str">
        <f>IFERROR(_xlfn.XLOOKUP($C36,factPensjon[Virksomhetsnr.],factPensjon[Forpliktelser]),"")</f>
        <v/>
      </c>
      <c r="E36" s="148">
        <f>SUMIFS(BasilRadata[Heltidsplasser
0-2],BasilRadata[År],'0. Oppsett'!$C$7-1,BasilRadata[1B. Organisasjonsnummer:],$C36)</f>
        <v>0</v>
      </c>
      <c r="F36" s="25">
        <f>'4. Selvkost og satser'!$B$54</f>
        <v>288170.9461329499</v>
      </c>
      <c r="G36" s="148">
        <f>SUMIFS(BasilRadata[Heltidsplasser
3-6],BasilRadata[År],'0. Oppsett'!$C$7-1,BasilRadata[1B. Organisasjonsnummer:],$C36)</f>
        <v>0</v>
      </c>
      <c r="H36" s="25">
        <f>'4. Selvkost og satser'!$B$55</f>
        <v>156604.23359926464</v>
      </c>
      <c r="I36" s="172">
        <f t="shared" si="1"/>
        <v>0</v>
      </c>
      <c r="J36" s="176">
        <f>SUMIFS(BasilRadata[8E. Oppgi antall årsverk barnehagen har pensjonsforpliktelser for:],BasilRadata[År],'0. Oppsett'!$C$7-1,BasilRadata[1B. Organisasjonsnummer:],'X. Utbetalingsmodul'!$C36)</f>
        <v>0</v>
      </c>
      <c r="K36" s="172" t="e">
        <f>_xlfn.XLOOKUP(C36,'X. Satser pensjonstilskudd'!$C$5:$C$224,'X. Satser pensjonstilskudd'!$I$5:$I$224)</f>
        <v>#DIV/0!</v>
      </c>
      <c r="L36" s="173" t="e">
        <f t="shared" si="2"/>
        <v>#DIV/0!</v>
      </c>
      <c r="M36" s="147">
        <f t="shared" si="3"/>
        <v>0</v>
      </c>
      <c r="N36" s="32">
        <f>IFERROR(M36*'0. Oppsett'!$C$30,0)</f>
        <v>0</v>
      </c>
      <c r="O36" s="33">
        <v>0</v>
      </c>
      <c r="P36" s="33"/>
      <c r="Q36" s="33"/>
      <c r="R36" s="33"/>
      <c r="S36" s="33">
        <v>0</v>
      </c>
      <c r="T36" s="34">
        <v>0</v>
      </c>
      <c r="U36" s="35">
        <f t="shared" si="4"/>
        <v>0</v>
      </c>
    </row>
    <row r="37" spans="1:21" ht="15.75" thickBot="1" x14ac:dyDescent="0.3">
      <c r="A37" s="17">
        <v>33</v>
      </c>
      <c r="B37" s="150">
        <f>'X. Satser pensjonstilskudd'!B37</f>
        <v>0</v>
      </c>
      <c r="C37" s="18">
        <f>'X. Satser pensjonstilskudd'!C37</f>
        <v>0</v>
      </c>
      <c r="D37" s="18" t="str">
        <f>IFERROR(_xlfn.XLOOKUP($C37,factPensjon[Virksomhetsnr.],factPensjon[Forpliktelser]),"")</f>
        <v/>
      </c>
      <c r="E37" s="148">
        <f>SUMIFS(BasilRadata[Heltidsplasser
0-2],BasilRadata[År],'0. Oppsett'!$C$7-1,BasilRadata[1B. Organisasjonsnummer:],$C37)</f>
        <v>0</v>
      </c>
      <c r="F37" s="25">
        <f>'4. Selvkost og satser'!$B$54</f>
        <v>288170.9461329499</v>
      </c>
      <c r="G37" s="148">
        <f>SUMIFS(BasilRadata[Heltidsplasser
3-6],BasilRadata[År],'0. Oppsett'!$C$7-1,BasilRadata[1B. Organisasjonsnummer:],$C37)</f>
        <v>0</v>
      </c>
      <c r="H37" s="25">
        <f>'4. Selvkost og satser'!$B$55</f>
        <v>156604.23359926464</v>
      </c>
      <c r="I37" s="172">
        <f t="shared" si="1"/>
        <v>0</v>
      </c>
      <c r="J37" s="176">
        <f>SUMIFS(BasilRadata[8E. Oppgi antall årsverk barnehagen har pensjonsforpliktelser for:],BasilRadata[År],'0. Oppsett'!$C$7-1,BasilRadata[1B. Organisasjonsnummer:],'X. Utbetalingsmodul'!$C37)</f>
        <v>0</v>
      </c>
      <c r="K37" s="172" t="e">
        <f>_xlfn.XLOOKUP(C37,'X. Satser pensjonstilskudd'!$C$5:$C$224,'X. Satser pensjonstilskudd'!$I$5:$I$224)</f>
        <v>#DIV/0!</v>
      </c>
      <c r="L37" s="173" t="e">
        <f t="shared" si="2"/>
        <v>#DIV/0!</v>
      </c>
      <c r="M37" s="147">
        <f t="shared" si="3"/>
        <v>0</v>
      </c>
      <c r="N37" s="32">
        <f>IFERROR(M37*'0. Oppsett'!$C$30,0)</f>
        <v>0</v>
      </c>
      <c r="O37" s="33">
        <v>0</v>
      </c>
      <c r="P37" s="33"/>
      <c r="Q37" s="33"/>
      <c r="R37" s="33"/>
      <c r="S37" s="33">
        <v>0</v>
      </c>
      <c r="T37" s="34">
        <v>0</v>
      </c>
      <c r="U37" s="35">
        <f t="shared" si="4"/>
        <v>0</v>
      </c>
    </row>
    <row r="38" spans="1:21" ht="15.75" thickBot="1" x14ac:dyDescent="0.3">
      <c r="A38" s="21">
        <v>34</v>
      </c>
      <c r="B38" s="150">
        <f>'X. Satser pensjonstilskudd'!B38</f>
        <v>0</v>
      </c>
      <c r="C38" s="18">
        <f>'X. Satser pensjonstilskudd'!C38</f>
        <v>0</v>
      </c>
      <c r="D38" s="18" t="str">
        <f>IFERROR(_xlfn.XLOOKUP($C38,factPensjon[Virksomhetsnr.],factPensjon[Forpliktelser]),"")</f>
        <v/>
      </c>
      <c r="E38" s="148">
        <f>SUMIFS(BasilRadata[Heltidsplasser
0-2],BasilRadata[År],'0. Oppsett'!$C$7-1,BasilRadata[1B. Organisasjonsnummer:],$C38)</f>
        <v>0</v>
      </c>
      <c r="F38" s="25">
        <f>'4. Selvkost og satser'!$B$54</f>
        <v>288170.9461329499</v>
      </c>
      <c r="G38" s="148">
        <f>SUMIFS(BasilRadata[Heltidsplasser
3-6],BasilRadata[År],'0. Oppsett'!$C$7-1,BasilRadata[1B. Organisasjonsnummer:],$C38)</f>
        <v>0</v>
      </c>
      <c r="H38" s="25">
        <f>'4. Selvkost og satser'!$B$55</f>
        <v>156604.23359926464</v>
      </c>
      <c r="I38" s="172">
        <f t="shared" si="1"/>
        <v>0</v>
      </c>
      <c r="J38" s="176">
        <f>SUMIFS(BasilRadata[8E. Oppgi antall årsverk barnehagen har pensjonsforpliktelser for:],BasilRadata[År],'0. Oppsett'!$C$7-1,BasilRadata[1B. Organisasjonsnummer:],'X. Utbetalingsmodul'!$C38)</f>
        <v>0</v>
      </c>
      <c r="K38" s="172" t="e">
        <f>_xlfn.XLOOKUP(C38,'X. Satser pensjonstilskudd'!$C$5:$C$224,'X. Satser pensjonstilskudd'!$I$5:$I$224)</f>
        <v>#DIV/0!</v>
      </c>
      <c r="L38" s="173" t="e">
        <f t="shared" si="2"/>
        <v>#DIV/0!</v>
      </c>
      <c r="M38" s="147">
        <f t="shared" si="3"/>
        <v>0</v>
      </c>
      <c r="N38" s="32">
        <f>IFERROR(M38*'0. Oppsett'!$C$30,0)</f>
        <v>0</v>
      </c>
      <c r="O38" s="33">
        <v>0</v>
      </c>
      <c r="P38" s="33"/>
      <c r="Q38" s="33"/>
      <c r="R38" s="33"/>
      <c r="S38" s="33">
        <v>0</v>
      </c>
      <c r="T38" s="34">
        <v>0</v>
      </c>
      <c r="U38" s="35">
        <f t="shared" si="4"/>
        <v>0</v>
      </c>
    </row>
    <row r="39" spans="1:21" ht="15.75" thickBot="1" x14ac:dyDescent="0.3">
      <c r="A39" s="17">
        <v>35</v>
      </c>
      <c r="B39" s="150">
        <f>'X. Satser pensjonstilskudd'!B39</f>
        <v>0</v>
      </c>
      <c r="C39" s="18">
        <f>'X. Satser pensjonstilskudd'!C39</f>
        <v>0</v>
      </c>
      <c r="D39" s="18" t="str">
        <f>IFERROR(_xlfn.XLOOKUP($C39,factPensjon[Virksomhetsnr.],factPensjon[Forpliktelser]),"")</f>
        <v/>
      </c>
      <c r="E39" s="148">
        <f>SUMIFS(BasilRadata[Heltidsplasser
0-2],BasilRadata[År],'0. Oppsett'!$C$7-1,BasilRadata[1B. Organisasjonsnummer:],$C39)</f>
        <v>0</v>
      </c>
      <c r="F39" s="25">
        <f>'4. Selvkost og satser'!$B$54</f>
        <v>288170.9461329499</v>
      </c>
      <c r="G39" s="148">
        <f>SUMIFS(BasilRadata[Heltidsplasser
3-6],BasilRadata[År],'0. Oppsett'!$C$7-1,BasilRadata[1B. Organisasjonsnummer:],$C39)</f>
        <v>0</v>
      </c>
      <c r="H39" s="25">
        <f>'4. Selvkost og satser'!$B$55</f>
        <v>156604.23359926464</v>
      </c>
      <c r="I39" s="172">
        <f t="shared" si="1"/>
        <v>0</v>
      </c>
      <c r="J39" s="176">
        <f>SUMIFS(BasilRadata[8E. Oppgi antall årsverk barnehagen har pensjonsforpliktelser for:],BasilRadata[År],'0. Oppsett'!$C$7-1,BasilRadata[1B. Organisasjonsnummer:],'X. Utbetalingsmodul'!$C39)</f>
        <v>0</v>
      </c>
      <c r="K39" s="172" t="e">
        <f>_xlfn.XLOOKUP(C39,'X. Satser pensjonstilskudd'!$C$5:$C$224,'X. Satser pensjonstilskudd'!$I$5:$I$224)</f>
        <v>#DIV/0!</v>
      </c>
      <c r="L39" s="173" t="e">
        <f t="shared" si="2"/>
        <v>#DIV/0!</v>
      </c>
      <c r="M39" s="147">
        <f t="shared" si="3"/>
        <v>0</v>
      </c>
      <c r="N39" s="32">
        <f>IFERROR(M39*'0. Oppsett'!$C$30,0)</f>
        <v>0</v>
      </c>
      <c r="O39" s="33">
        <v>0</v>
      </c>
      <c r="P39" s="33"/>
      <c r="Q39" s="33"/>
      <c r="R39" s="33"/>
      <c r="S39" s="33">
        <v>0</v>
      </c>
      <c r="T39" s="34">
        <v>0</v>
      </c>
      <c r="U39" s="35">
        <f t="shared" si="4"/>
        <v>0</v>
      </c>
    </row>
    <row r="40" spans="1:21" ht="15.75" thickBot="1" x14ac:dyDescent="0.3">
      <c r="A40" s="21">
        <v>36</v>
      </c>
      <c r="B40" s="150">
        <f>'X. Satser pensjonstilskudd'!B40</f>
        <v>0</v>
      </c>
      <c r="C40" s="18">
        <f>'X. Satser pensjonstilskudd'!C40</f>
        <v>0</v>
      </c>
      <c r="D40" s="18" t="str">
        <f>IFERROR(_xlfn.XLOOKUP($C40,factPensjon[Virksomhetsnr.],factPensjon[Forpliktelser]),"")</f>
        <v/>
      </c>
      <c r="E40" s="148">
        <f>SUMIFS(BasilRadata[Heltidsplasser
0-2],BasilRadata[År],'0. Oppsett'!$C$7-1,BasilRadata[1B. Organisasjonsnummer:],$C40)</f>
        <v>0</v>
      </c>
      <c r="F40" s="25">
        <f>'4. Selvkost og satser'!$B$54</f>
        <v>288170.9461329499</v>
      </c>
      <c r="G40" s="148">
        <f>SUMIFS(BasilRadata[Heltidsplasser
3-6],BasilRadata[År],'0. Oppsett'!$C$7-1,BasilRadata[1B. Organisasjonsnummer:],$C40)</f>
        <v>0</v>
      </c>
      <c r="H40" s="25">
        <f>'4. Selvkost og satser'!$B$55</f>
        <v>156604.23359926464</v>
      </c>
      <c r="I40" s="172">
        <f t="shared" si="1"/>
        <v>0</v>
      </c>
      <c r="J40" s="176">
        <f>SUMIFS(BasilRadata[8E. Oppgi antall årsverk barnehagen har pensjonsforpliktelser for:],BasilRadata[År],'0. Oppsett'!$C$7-1,BasilRadata[1B. Organisasjonsnummer:],'X. Utbetalingsmodul'!$C40)</f>
        <v>0</v>
      </c>
      <c r="K40" s="172" t="e">
        <f>_xlfn.XLOOKUP(C40,'X. Satser pensjonstilskudd'!$C$5:$C$224,'X. Satser pensjonstilskudd'!$I$5:$I$224)</f>
        <v>#DIV/0!</v>
      </c>
      <c r="L40" s="173" t="e">
        <f t="shared" si="2"/>
        <v>#DIV/0!</v>
      </c>
      <c r="M40" s="147">
        <f t="shared" si="3"/>
        <v>0</v>
      </c>
      <c r="N40" s="32">
        <f>IFERROR(M40*'0. Oppsett'!$C$30,0)</f>
        <v>0</v>
      </c>
      <c r="O40" s="33">
        <v>0</v>
      </c>
      <c r="P40" s="33"/>
      <c r="Q40" s="33"/>
      <c r="R40" s="33"/>
      <c r="S40" s="33">
        <v>0</v>
      </c>
      <c r="T40" s="34">
        <v>0</v>
      </c>
      <c r="U40" s="35">
        <f t="shared" si="4"/>
        <v>0</v>
      </c>
    </row>
    <row r="41" spans="1:21" ht="15.75" thickBot="1" x14ac:dyDescent="0.3">
      <c r="A41" s="17">
        <v>37</v>
      </c>
      <c r="B41" s="150">
        <f>'X. Satser pensjonstilskudd'!B41</f>
        <v>0</v>
      </c>
      <c r="C41" s="18">
        <f>'X. Satser pensjonstilskudd'!C41</f>
        <v>0</v>
      </c>
      <c r="D41" s="18" t="str">
        <f>IFERROR(_xlfn.XLOOKUP($C41,factPensjon[Virksomhetsnr.],factPensjon[Forpliktelser]),"")</f>
        <v/>
      </c>
      <c r="E41" s="148">
        <f>SUMIFS(BasilRadata[Heltidsplasser
0-2],BasilRadata[År],'0. Oppsett'!$C$7-1,BasilRadata[1B. Organisasjonsnummer:],$C41)</f>
        <v>0</v>
      </c>
      <c r="F41" s="25">
        <f>'4. Selvkost og satser'!$B$54</f>
        <v>288170.9461329499</v>
      </c>
      <c r="G41" s="148">
        <f>SUMIFS(BasilRadata[Heltidsplasser
3-6],BasilRadata[År],'0. Oppsett'!$C$7-1,BasilRadata[1B. Organisasjonsnummer:],$C41)</f>
        <v>0</v>
      </c>
      <c r="H41" s="25">
        <f>'4. Selvkost og satser'!$B$55</f>
        <v>156604.23359926464</v>
      </c>
      <c r="I41" s="172">
        <f t="shared" si="1"/>
        <v>0</v>
      </c>
      <c r="J41" s="176">
        <f>SUMIFS(BasilRadata[8E. Oppgi antall årsverk barnehagen har pensjonsforpliktelser for:],BasilRadata[År],'0. Oppsett'!$C$7-1,BasilRadata[1B. Organisasjonsnummer:],'X. Utbetalingsmodul'!$C41)</f>
        <v>0</v>
      </c>
      <c r="K41" s="172" t="e">
        <f>_xlfn.XLOOKUP(C41,'X. Satser pensjonstilskudd'!$C$5:$C$224,'X. Satser pensjonstilskudd'!$I$5:$I$224)</f>
        <v>#DIV/0!</v>
      </c>
      <c r="L41" s="173" t="e">
        <f t="shared" si="2"/>
        <v>#DIV/0!</v>
      </c>
      <c r="M41" s="147">
        <f t="shared" si="3"/>
        <v>0</v>
      </c>
      <c r="N41" s="32">
        <f>IFERROR(M41*'0. Oppsett'!$C$30,0)</f>
        <v>0</v>
      </c>
      <c r="O41" s="33">
        <v>0</v>
      </c>
      <c r="P41" s="33"/>
      <c r="Q41" s="33"/>
      <c r="R41" s="33"/>
      <c r="S41" s="33">
        <v>0</v>
      </c>
      <c r="T41" s="34">
        <v>0</v>
      </c>
      <c r="U41" s="35">
        <f t="shared" si="4"/>
        <v>0</v>
      </c>
    </row>
    <row r="42" spans="1:21" ht="15.75" thickBot="1" x14ac:dyDescent="0.3">
      <c r="A42" s="21">
        <v>38</v>
      </c>
      <c r="B42" s="150">
        <f>'X. Satser pensjonstilskudd'!B42</f>
        <v>0</v>
      </c>
      <c r="C42" s="18">
        <f>'X. Satser pensjonstilskudd'!C42</f>
        <v>0</v>
      </c>
      <c r="D42" s="18" t="str">
        <f>IFERROR(_xlfn.XLOOKUP($C42,factPensjon[Virksomhetsnr.],factPensjon[Forpliktelser]),"")</f>
        <v/>
      </c>
      <c r="E42" s="148">
        <f>SUMIFS(BasilRadata[Heltidsplasser
0-2],BasilRadata[År],'0. Oppsett'!$C$7-1,BasilRadata[1B. Organisasjonsnummer:],$C42)</f>
        <v>0</v>
      </c>
      <c r="F42" s="25">
        <f>'4. Selvkost og satser'!$B$54</f>
        <v>288170.9461329499</v>
      </c>
      <c r="G42" s="148">
        <f>SUMIFS(BasilRadata[Heltidsplasser
3-6],BasilRadata[År],'0. Oppsett'!$C$7-1,BasilRadata[1B. Organisasjonsnummer:],$C42)</f>
        <v>0</v>
      </c>
      <c r="H42" s="25">
        <f>'4. Selvkost og satser'!$B$55</f>
        <v>156604.23359926464</v>
      </c>
      <c r="I42" s="172">
        <f t="shared" si="1"/>
        <v>0</v>
      </c>
      <c r="J42" s="176">
        <f>SUMIFS(BasilRadata[8E. Oppgi antall årsverk barnehagen har pensjonsforpliktelser for:],BasilRadata[År],'0. Oppsett'!$C$7-1,BasilRadata[1B. Organisasjonsnummer:],'X. Utbetalingsmodul'!$C42)</f>
        <v>0</v>
      </c>
      <c r="K42" s="172" t="e">
        <f>_xlfn.XLOOKUP(C42,'X. Satser pensjonstilskudd'!$C$5:$C$224,'X. Satser pensjonstilskudd'!$I$5:$I$224)</f>
        <v>#DIV/0!</v>
      </c>
      <c r="L42" s="173" t="e">
        <f t="shared" si="2"/>
        <v>#DIV/0!</v>
      </c>
      <c r="M42" s="147">
        <f t="shared" si="3"/>
        <v>0</v>
      </c>
      <c r="N42" s="32">
        <f>IFERROR(M42*'0. Oppsett'!$C$30,0)</f>
        <v>0</v>
      </c>
      <c r="O42" s="33">
        <v>0</v>
      </c>
      <c r="P42" s="33"/>
      <c r="Q42" s="33"/>
      <c r="R42" s="33"/>
      <c r="S42" s="33">
        <v>0</v>
      </c>
      <c r="T42" s="34">
        <v>0</v>
      </c>
      <c r="U42" s="35">
        <f t="shared" si="4"/>
        <v>0</v>
      </c>
    </row>
    <row r="43" spans="1:21" ht="15.75" thickBot="1" x14ac:dyDescent="0.3">
      <c r="A43" s="17">
        <v>39</v>
      </c>
      <c r="B43" s="150">
        <f>'X. Satser pensjonstilskudd'!B43</f>
        <v>0</v>
      </c>
      <c r="C43" s="18">
        <f>'X. Satser pensjonstilskudd'!C43</f>
        <v>0</v>
      </c>
      <c r="D43" s="18" t="str">
        <f>IFERROR(_xlfn.XLOOKUP($C43,factPensjon[Virksomhetsnr.],factPensjon[Forpliktelser]),"")</f>
        <v/>
      </c>
      <c r="E43" s="148">
        <f>SUMIFS(BasilRadata[Heltidsplasser
0-2],BasilRadata[År],'0. Oppsett'!$C$7-1,BasilRadata[1B. Organisasjonsnummer:],$C43)</f>
        <v>0</v>
      </c>
      <c r="F43" s="25">
        <f>'4. Selvkost og satser'!$B$54</f>
        <v>288170.9461329499</v>
      </c>
      <c r="G43" s="148">
        <f>SUMIFS(BasilRadata[Heltidsplasser
3-6],BasilRadata[År],'0. Oppsett'!$C$7-1,BasilRadata[1B. Organisasjonsnummer:],$C43)</f>
        <v>0</v>
      </c>
      <c r="H43" s="25">
        <f>'4. Selvkost og satser'!$B$55</f>
        <v>156604.23359926464</v>
      </c>
      <c r="I43" s="172">
        <f t="shared" si="1"/>
        <v>0</v>
      </c>
      <c r="J43" s="176">
        <f>SUMIFS(BasilRadata[8E. Oppgi antall årsverk barnehagen har pensjonsforpliktelser for:],BasilRadata[År],'0. Oppsett'!$C$7-1,BasilRadata[1B. Organisasjonsnummer:],'X. Utbetalingsmodul'!$C43)</f>
        <v>0</v>
      </c>
      <c r="K43" s="172" t="e">
        <f>_xlfn.XLOOKUP(C43,'X. Satser pensjonstilskudd'!$C$5:$C$224,'X. Satser pensjonstilskudd'!$I$5:$I$224)</f>
        <v>#DIV/0!</v>
      </c>
      <c r="L43" s="173" t="e">
        <f t="shared" si="2"/>
        <v>#DIV/0!</v>
      </c>
      <c r="M43" s="147">
        <f t="shared" si="3"/>
        <v>0</v>
      </c>
      <c r="N43" s="32">
        <f>IFERROR(M43*'0. Oppsett'!$C$30,0)</f>
        <v>0</v>
      </c>
      <c r="O43" s="33">
        <v>0</v>
      </c>
      <c r="P43" s="33"/>
      <c r="Q43" s="33"/>
      <c r="R43" s="33"/>
      <c r="S43" s="33">
        <v>0</v>
      </c>
      <c r="T43" s="34">
        <v>0</v>
      </c>
      <c r="U43" s="35">
        <f t="shared" si="4"/>
        <v>0</v>
      </c>
    </row>
    <row r="44" spans="1:21" ht="15.75" thickBot="1" x14ac:dyDescent="0.3">
      <c r="A44" s="21">
        <v>40</v>
      </c>
      <c r="B44" s="150">
        <f>'X. Satser pensjonstilskudd'!B44</f>
        <v>0</v>
      </c>
      <c r="C44" s="18">
        <f>'X. Satser pensjonstilskudd'!C44</f>
        <v>0</v>
      </c>
      <c r="D44" s="18" t="str">
        <f>IFERROR(_xlfn.XLOOKUP($C44,factPensjon[Virksomhetsnr.],factPensjon[Forpliktelser]),"")</f>
        <v/>
      </c>
      <c r="E44" s="148">
        <f>SUMIFS(BasilRadata[Heltidsplasser
0-2],BasilRadata[År],'0. Oppsett'!$C$7-1,BasilRadata[1B. Organisasjonsnummer:],$C44)</f>
        <v>0</v>
      </c>
      <c r="F44" s="25">
        <f>'4. Selvkost og satser'!$B$54</f>
        <v>288170.9461329499</v>
      </c>
      <c r="G44" s="148">
        <f>SUMIFS(BasilRadata[Heltidsplasser
3-6],BasilRadata[År],'0. Oppsett'!$C$7-1,BasilRadata[1B. Organisasjonsnummer:],$C44)</f>
        <v>0</v>
      </c>
      <c r="H44" s="25">
        <f>'4. Selvkost og satser'!$B$55</f>
        <v>156604.23359926464</v>
      </c>
      <c r="I44" s="172">
        <f t="shared" si="1"/>
        <v>0</v>
      </c>
      <c r="J44" s="176">
        <f>SUMIFS(BasilRadata[8E. Oppgi antall årsverk barnehagen har pensjonsforpliktelser for:],BasilRadata[År],'0. Oppsett'!$C$7-1,BasilRadata[1B. Organisasjonsnummer:],'X. Utbetalingsmodul'!$C44)</f>
        <v>0</v>
      </c>
      <c r="K44" s="172" t="e">
        <f>_xlfn.XLOOKUP(C44,'X. Satser pensjonstilskudd'!$C$5:$C$224,'X. Satser pensjonstilskudd'!$I$5:$I$224)</f>
        <v>#DIV/0!</v>
      </c>
      <c r="L44" s="173" t="e">
        <f t="shared" si="2"/>
        <v>#DIV/0!</v>
      </c>
      <c r="M44" s="147">
        <f t="shared" si="3"/>
        <v>0</v>
      </c>
      <c r="N44" s="32">
        <f>IFERROR(M44*'0. Oppsett'!$C$30,0)</f>
        <v>0</v>
      </c>
      <c r="O44" s="33">
        <v>0</v>
      </c>
      <c r="P44" s="33"/>
      <c r="Q44" s="33"/>
      <c r="R44" s="33"/>
      <c r="S44" s="33">
        <v>0</v>
      </c>
      <c r="T44" s="34">
        <v>0</v>
      </c>
      <c r="U44" s="35">
        <f t="shared" si="4"/>
        <v>0</v>
      </c>
    </row>
    <row r="45" spans="1:21" ht="15.75" thickBot="1" x14ac:dyDescent="0.3">
      <c r="A45" s="17">
        <v>41</v>
      </c>
      <c r="B45" s="150">
        <f>'X. Satser pensjonstilskudd'!B45</f>
        <v>0</v>
      </c>
      <c r="C45" s="18">
        <f>'X. Satser pensjonstilskudd'!C45</f>
        <v>0</v>
      </c>
      <c r="D45" s="18" t="str">
        <f>IFERROR(_xlfn.XLOOKUP($C45,factPensjon[Virksomhetsnr.],factPensjon[Forpliktelser]),"")</f>
        <v/>
      </c>
      <c r="E45" s="148">
        <f>SUMIFS(BasilRadata[Heltidsplasser
0-2],BasilRadata[År],'0. Oppsett'!$C$7-1,BasilRadata[1B. Organisasjonsnummer:],$C45)</f>
        <v>0</v>
      </c>
      <c r="F45" s="25">
        <f>'4. Selvkost og satser'!$B$54</f>
        <v>288170.9461329499</v>
      </c>
      <c r="G45" s="148">
        <f>SUMIFS(BasilRadata[Heltidsplasser
3-6],BasilRadata[År],'0. Oppsett'!$C$7-1,BasilRadata[1B. Organisasjonsnummer:],$C45)</f>
        <v>0</v>
      </c>
      <c r="H45" s="25">
        <f>'4. Selvkost og satser'!$B$55</f>
        <v>156604.23359926464</v>
      </c>
      <c r="I45" s="172">
        <f t="shared" si="1"/>
        <v>0</v>
      </c>
      <c r="J45" s="176">
        <f>SUMIFS(BasilRadata[8E. Oppgi antall årsverk barnehagen har pensjonsforpliktelser for:],BasilRadata[År],'0. Oppsett'!$C$7-1,BasilRadata[1B. Organisasjonsnummer:],'X. Utbetalingsmodul'!$C45)</f>
        <v>0</v>
      </c>
      <c r="K45" s="172" t="e">
        <f>_xlfn.XLOOKUP(C45,'X. Satser pensjonstilskudd'!$C$5:$C$224,'X. Satser pensjonstilskudd'!$I$5:$I$224)</f>
        <v>#DIV/0!</v>
      </c>
      <c r="L45" s="173" t="e">
        <f t="shared" si="2"/>
        <v>#DIV/0!</v>
      </c>
      <c r="M45" s="147">
        <f t="shared" si="3"/>
        <v>0</v>
      </c>
      <c r="N45" s="32">
        <f>IFERROR(M45*'0. Oppsett'!$C$30,0)</f>
        <v>0</v>
      </c>
      <c r="O45" s="33">
        <v>0</v>
      </c>
      <c r="P45" s="33"/>
      <c r="Q45" s="33"/>
      <c r="R45" s="33"/>
      <c r="S45" s="33">
        <v>0</v>
      </c>
      <c r="T45" s="34">
        <v>0</v>
      </c>
      <c r="U45" s="35">
        <f t="shared" si="4"/>
        <v>0</v>
      </c>
    </row>
    <row r="46" spans="1:21" ht="15.75" thickBot="1" x14ac:dyDescent="0.3">
      <c r="A46" s="21">
        <v>42</v>
      </c>
      <c r="B46" s="150">
        <f>'X. Satser pensjonstilskudd'!B46</f>
        <v>0</v>
      </c>
      <c r="C46" s="18">
        <f>'X. Satser pensjonstilskudd'!C46</f>
        <v>0</v>
      </c>
      <c r="D46" s="18" t="str">
        <f>IFERROR(_xlfn.XLOOKUP($C46,factPensjon[Virksomhetsnr.],factPensjon[Forpliktelser]),"")</f>
        <v/>
      </c>
      <c r="E46" s="148">
        <f>SUMIFS(BasilRadata[Heltidsplasser
0-2],BasilRadata[År],'0. Oppsett'!$C$7-1,BasilRadata[1B. Organisasjonsnummer:],$C46)</f>
        <v>0</v>
      </c>
      <c r="F46" s="25">
        <f>'4. Selvkost og satser'!$B$54</f>
        <v>288170.9461329499</v>
      </c>
      <c r="G46" s="148">
        <f>SUMIFS(BasilRadata[Heltidsplasser
3-6],BasilRadata[År],'0. Oppsett'!$C$7-1,BasilRadata[1B. Organisasjonsnummer:],$C46)</f>
        <v>0</v>
      </c>
      <c r="H46" s="25">
        <f>'4. Selvkost og satser'!$B$55</f>
        <v>156604.23359926464</v>
      </c>
      <c r="I46" s="172">
        <f t="shared" si="1"/>
        <v>0</v>
      </c>
      <c r="J46" s="176">
        <f>SUMIFS(BasilRadata[8E. Oppgi antall årsverk barnehagen har pensjonsforpliktelser for:],BasilRadata[År],'0. Oppsett'!$C$7-1,BasilRadata[1B. Organisasjonsnummer:],'X. Utbetalingsmodul'!$C46)</f>
        <v>0</v>
      </c>
      <c r="K46" s="172" t="e">
        <f>_xlfn.XLOOKUP(C46,'X. Satser pensjonstilskudd'!$C$5:$C$224,'X. Satser pensjonstilskudd'!$I$5:$I$224)</f>
        <v>#DIV/0!</v>
      </c>
      <c r="L46" s="173" t="e">
        <f t="shared" si="2"/>
        <v>#DIV/0!</v>
      </c>
      <c r="M46" s="147">
        <f t="shared" si="3"/>
        <v>0</v>
      </c>
      <c r="N46" s="32">
        <f>IFERROR(M46*'0. Oppsett'!$C$30,0)</f>
        <v>0</v>
      </c>
      <c r="O46" s="33">
        <v>0</v>
      </c>
      <c r="P46" s="33"/>
      <c r="Q46" s="33"/>
      <c r="R46" s="33"/>
      <c r="S46" s="33">
        <v>0</v>
      </c>
      <c r="T46" s="34">
        <v>0</v>
      </c>
      <c r="U46" s="35">
        <f t="shared" si="4"/>
        <v>0</v>
      </c>
    </row>
    <row r="47" spans="1:21" ht="15.75" thickBot="1" x14ac:dyDescent="0.3">
      <c r="A47" s="17">
        <v>43</v>
      </c>
      <c r="B47" s="150">
        <f>'X. Satser pensjonstilskudd'!B47</f>
        <v>0</v>
      </c>
      <c r="C47" s="18">
        <f>'X. Satser pensjonstilskudd'!C47</f>
        <v>0</v>
      </c>
      <c r="D47" s="18" t="str">
        <f>IFERROR(_xlfn.XLOOKUP($C47,factPensjon[Virksomhetsnr.],factPensjon[Forpliktelser]),"")</f>
        <v/>
      </c>
      <c r="E47" s="148">
        <f>SUMIFS(BasilRadata[Heltidsplasser
0-2],BasilRadata[År],'0. Oppsett'!$C$7-1,BasilRadata[1B. Organisasjonsnummer:],$C47)</f>
        <v>0</v>
      </c>
      <c r="F47" s="25">
        <f>'4. Selvkost og satser'!$B$54</f>
        <v>288170.9461329499</v>
      </c>
      <c r="G47" s="148">
        <f>SUMIFS(BasilRadata[Heltidsplasser
3-6],BasilRadata[År],'0. Oppsett'!$C$7-1,BasilRadata[1B. Organisasjonsnummer:],$C47)</f>
        <v>0</v>
      </c>
      <c r="H47" s="25">
        <f>'4. Selvkost og satser'!$B$55</f>
        <v>156604.23359926464</v>
      </c>
      <c r="I47" s="172">
        <f t="shared" si="1"/>
        <v>0</v>
      </c>
      <c r="J47" s="176">
        <f>SUMIFS(BasilRadata[8E. Oppgi antall årsverk barnehagen har pensjonsforpliktelser for:],BasilRadata[År],'0. Oppsett'!$C$7-1,BasilRadata[1B. Organisasjonsnummer:],'X. Utbetalingsmodul'!$C47)</f>
        <v>0</v>
      </c>
      <c r="K47" s="172" t="e">
        <f>_xlfn.XLOOKUP(C47,'X. Satser pensjonstilskudd'!$C$5:$C$224,'X. Satser pensjonstilskudd'!$I$5:$I$224)</f>
        <v>#DIV/0!</v>
      </c>
      <c r="L47" s="173" t="e">
        <f t="shared" si="2"/>
        <v>#DIV/0!</v>
      </c>
      <c r="M47" s="147">
        <f t="shared" si="3"/>
        <v>0</v>
      </c>
      <c r="N47" s="32">
        <f>IFERROR(M47*'0. Oppsett'!$C$30,0)</f>
        <v>0</v>
      </c>
      <c r="O47" s="33">
        <v>0</v>
      </c>
      <c r="P47" s="33"/>
      <c r="Q47" s="33"/>
      <c r="R47" s="33"/>
      <c r="S47" s="33">
        <v>0</v>
      </c>
      <c r="T47" s="34">
        <v>0</v>
      </c>
      <c r="U47" s="35">
        <f t="shared" si="4"/>
        <v>0</v>
      </c>
    </row>
    <row r="48" spans="1:21" ht="15.75" thickBot="1" x14ac:dyDescent="0.3">
      <c r="A48" s="21">
        <v>44</v>
      </c>
      <c r="B48" s="150">
        <f>'X. Satser pensjonstilskudd'!B48</f>
        <v>0</v>
      </c>
      <c r="C48" s="18">
        <f>'X. Satser pensjonstilskudd'!C48</f>
        <v>0</v>
      </c>
      <c r="D48" s="18" t="str">
        <f>IFERROR(_xlfn.XLOOKUP($C48,factPensjon[Virksomhetsnr.],factPensjon[Forpliktelser]),"")</f>
        <v/>
      </c>
      <c r="E48" s="148">
        <f>SUMIFS(BasilRadata[Heltidsplasser
0-2],BasilRadata[År],'0. Oppsett'!$C$7-1,BasilRadata[1B. Organisasjonsnummer:],$C48)</f>
        <v>0</v>
      </c>
      <c r="F48" s="25">
        <f>'4. Selvkost og satser'!$B$54</f>
        <v>288170.9461329499</v>
      </c>
      <c r="G48" s="148">
        <f>SUMIFS(BasilRadata[Heltidsplasser
3-6],BasilRadata[År],'0. Oppsett'!$C$7-1,BasilRadata[1B. Organisasjonsnummer:],$C48)</f>
        <v>0</v>
      </c>
      <c r="H48" s="25">
        <f>'4. Selvkost og satser'!$B$55</f>
        <v>156604.23359926464</v>
      </c>
      <c r="I48" s="172">
        <f t="shared" si="1"/>
        <v>0</v>
      </c>
      <c r="J48" s="176">
        <f>SUMIFS(BasilRadata[8E. Oppgi antall årsverk barnehagen har pensjonsforpliktelser for:],BasilRadata[År],'0. Oppsett'!$C$7-1,BasilRadata[1B. Organisasjonsnummer:],'X. Utbetalingsmodul'!$C48)</f>
        <v>0</v>
      </c>
      <c r="K48" s="172" t="e">
        <f>_xlfn.XLOOKUP(C48,'X. Satser pensjonstilskudd'!$C$5:$C$224,'X. Satser pensjonstilskudd'!$I$5:$I$224)</f>
        <v>#DIV/0!</v>
      </c>
      <c r="L48" s="173" t="e">
        <f t="shared" si="2"/>
        <v>#DIV/0!</v>
      </c>
      <c r="M48" s="147">
        <f t="shared" si="3"/>
        <v>0</v>
      </c>
      <c r="N48" s="32">
        <f>IFERROR(M48*'0. Oppsett'!$C$30,0)</f>
        <v>0</v>
      </c>
      <c r="O48" s="33">
        <v>0</v>
      </c>
      <c r="P48" s="33"/>
      <c r="Q48" s="33"/>
      <c r="R48" s="33"/>
      <c r="S48" s="33">
        <v>0</v>
      </c>
      <c r="T48" s="34">
        <v>0</v>
      </c>
      <c r="U48" s="35">
        <f t="shared" si="4"/>
        <v>0</v>
      </c>
    </row>
    <row r="49" spans="1:21" ht="15.75" thickBot="1" x14ac:dyDescent="0.3">
      <c r="A49" s="17">
        <v>45</v>
      </c>
      <c r="B49" s="150">
        <f>'X. Satser pensjonstilskudd'!B49</f>
        <v>0</v>
      </c>
      <c r="C49" s="18">
        <f>'X. Satser pensjonstilskudd'!C49</f>
        <v>0</v>
      </c>
      <c r="D49" s="18" t="str">
        <f>IFERROR(_xlfn.XLOOKUP($C49,factPensjon[Virksomhetsnr.],factPensjon[Forpliktelser]),"")</f>
        <v/>
      </c>
      <c r="E49" s="148">
        <f>SUMIFS(BasilRadata[Heltidsplasser
0-2],BasilRadata[År],'0. Oppsett'!$C$7-1,BasilRadata[1B. Organisasjonsnummer:],$C49)</f>
        <v>0</v>
      </c>
      <c r="F49" s="25">
        <f>'4. Selvkost og satser'!$B$54</f>
        <v>288170.9461329499</v>
      </c>
      <c r="G49" s="148">
        <f>SUMIFS(BasilRadata[Heltidsplasser
3-6],BasilRadata[År],'0. Oppsett'!$C$7-1,BasilRadata[1B. Organisasjonsnummer:],$C49)</f>
        <v>0</v>
      </c>
      <c r="H49" s="25">
        <f>'4. Selvkost og satser'!$B$55</f>
        <v>156604.23359926464</v>
      </c>
      <c r="I49" s="172">
        <f t="shared" si="1"/>
        <v>0</v>
      </c>
      <c r="J49" s="176">
        <f>SUMIFS(BasilRadata[8E. Oppgi antall årsverk barnehagen har pensjonsforpliktelser for:],BasilRadata[År],'0. Oppsett'!$C$7-1,BasilRadata[1B. Organisasjonsnummer:],'X. Utbetalingsmodul'!$C49)</f>
        <v>0</v>
      </c>
      <c r="K49" s="172" t="e">
        <f>_xlfn.XLOOKUP(C49,'X. Satser pensjonstilskudd'!$C$5:$C$224,'X. Satser pensjonstilskudd'!$I$5:$I$224)</f>
        <v>#DIV/0!</v>
      </c>
      <c r="L49" s="173" t="e">
        <f t="shared" si="2"/>
        <v>#DIV/0!</v>
      </c>
      <c r="M49" s="147">
        <f t="shared" si="3"/>
        <v>0</v>
      </c>
      <c r="N49" s="32">
        <f>IFERROR(M49*'0. Oppsett'!$C$30,0)</f>
        <v>0</v>
      </c>
      <c r="O49" s="33">
        <v>0</v>
      </c>
      <c r="P49" s="33"/>
      <c r="Q49" s="33"/>
      <c r="R49" s="33"/>
      <c r="S49" s="33">
        <v>0</v>
      </c>
      <c r="T49" s="34">
        <v>0</v>
      </c>
      <c r="U49" s="35">
        <f t="shared" si="4"/>
        <v>0</v>
      </c>
    </row>
    <row r="50" spans="1:21" ht="15.75" thickBot="1" x14ac:dyDescent="0.3">
      <c r="A50" s="21">
        <v>46</v>
      </c>
      <c r="B50" s="150">
        <f>'X. Satser pensjonstilskudd'!B50</f>
        <v>0</v>
      </c>
      <c r="C50" s="18">
        <f>'X. Satser pensjonstilskudd'!C50</f>
        <v>0</v>
      </c>
      <c r="D50" s="18" t="str">
        <f>IFERROR(_xlfn.XLOOKUP($C50,factPensjon[Virksomhetsnr.],factPensjon[Forpliktelser]),"")</f>
        <v/>
      </c>
      <c r="E50" s="148">
        <f>SUMIFS(BasilRadata[Heltidsplasser
0-2],BasilRadata[År],'0. Oppsett'!$C$7-1,BasilRadata[1B. Organisasjonsnummer:],$C50)</f>
        <v>0</v>
      </c>
      <c r="F50" s="25">
        <f>'4. Selvkost og satser'!$B$54</f>
        <v>288170.9461329499</v>
      </c>
      <c r="G50" s="148">
        <f>SUMIFS(BasilRadata[Heltidsplasser
3-6],BasilRadata[År],'0. Oppsett'!$C$7-1,BasilRadata[1B. Organisasjonsnummer:],$C50)</f>
        <v>0</v>
      </c>
      <c r="H50" s="25">
        <f>'4. Selvkost og satser'!$B$55</f>
        <v>156604.23359926464</v>
      </c>
      <c r="I50" s="172">
        <f t="shared" si="1"/>
        <v>0</v>
      </c>
      <c r="J50" s="176">
        <f>SUMIFS(BasilRadata[8E. Oppgi antall årsverk barnehagen har pensjonsforpliktelser for:],BasilRadata[År],'0. Oppsett'!$C$7-1,BasilRadata[1B. Organisasjonsnummer:],'X. Utbetalingsmodul'!$C50)</f>
        <v>0</v>
      </c>
      <c r="K50" s="172" t="e">
        <f>_xlfn.XLOOKUP(C50,'X. Satser pensjonstilskudd'!$C$5:$C$224,'X. Satser pensjonstilskudd'!$I$5:$I$224)</f>
        <v>#DIV/0!</v>
      </c>
      <c r="L50" s="173" t="e">
        <f t="shared" si="2"/>
        <v>#DIV/0!</v>
      </c>
      <c r="M50" s="147">
        <f t="shared" si="3"/>
        <v>0</v>
      </c>
      <c r="N50" s="32">
        <f>IFERROR(M50*'0. Oppsett'!$C$30,0)</f>
        <v>0</v>
      </c>
      <c r="O50" s="33">
        <v>0</v>
      </c>
      <c r="P50" s="33"/>
      <c r="Q50" s="33"/>
      <c r="R50" s="33"/>
      <c r="S50" s="33">
        <v>0</v>
      </c>
      <c r="T50" s="34">
        <v>0</v>
      </c>
      <c r="U50" s="35">
        <f t="shared" si="4"/>
        <v>0</v>
      </c>
    </row>
    <row r="51" spans="1:21" ht="15.75" thickBot="1" x14ac:dyDescent="0.3">
      <c r="A51" s="17">
        <v>47</v>
      </c>
      <c r="B51" s="150">
        <f>'X. Satser pensjonstilskudd'!B51</f>
        <v>0</v>
      </c>
      <c r="C51" s="18">
        <f>'X. Satser pensjonstilskudd'!C51</f>
        <v>0</v>
      </c>
      <c r="D51" s="18" t="str">
        <f>IFERROR(_xlfn.XLOOKUP($C51,factPensjon[Virksomhetsnr.],factPensjon[Forpliktelser]),"")</f>
        <v/>
      </c>
      <c r="E51" s="148">
        <f>SUMIFS(BasilRadata[Heltidsplasser
0-2],BasilRadata[År],'0. Oppsett'!$C$7-1,BasilRadata[1B. Organisasjonsnummer:],$C51)</f>
        <v>0</v>
      </c>
      <c r="F51" s="25">
        <f>'4. Selvkost og satser'!$B$54</f>
        <v>288170.9461329499</v>
      </c>
      <c r="G51" s="148">
        <f>SUMIFS(BasilRadata[Heltidsplasser
3-6],BasilRadata[År],'0. Oppsett'!$C$7-1,BasilRadata[1B. Organisasjonsnummer:],$C51)</f>
        <v>0</v>
      </c>
      <c r="H51" s="25">
        <f>'4. Selvkost og satser'!$B$55</f>
        <v>156604.23359926464</v>
      </c>
      <c r="I51" s="172">
        <f t="shared" si="1"/>
        <v>0</v>
      </c>
      <c r="J51" s="176">
        <f>SUMIFS(BasilRadata[8E. Oppgi antall årsverk barnehagen har pensjonsforpliktelser for:],BasilRadata[År],'0. Oppsett'!$C$7-1,BasilRadata[1B. Organisasjonsnummer:],'X. Utbetalingsmodul'!$C51)</f>
        <v>0</v>
      </c>
      <c r="K51" s="172" t="e">
        <f>_xlfn.XLOOKUP(C51,'X. Satser pensjonstilskudd'!$C$5:$C$224,'X. Satser pensjonstilskudd'!$I$5:$I$224)</f>
        <v>#DIV/0!</v>
      </c>
      <c r="L51" s="173" t="e">
        <f t="shared" si="2"/>
        <v>#DIV/0!</v>
      </c>
      <c r="M51" s="147">
        <f t="shared" si="3"/>
        <v>0</v>
      </c>
      <c r="N51" s="32">
        <f>IFERROR(M51*'0. Oppsett'!$C$30,0)</f>
        <v>0</v>
      </c>
      <c r="O51" s="33">
        <v>0</v>
      </c>
      <c r="P51" s="33"/>
      <c r="Q51" s="33"/>
      <c r="R51" s="33"/>
      <c r="S51" s="33">
        <v>0</v>
      </c>
      <c r="T51" s="34">
        <v>0</v>
      </c>
      <c r="U51" s="35">
        <f t="shared" si="4"/>
        <v>0</v>
      </c>
    </row>
    <row r="52" spans="1:21" ht="15.75" thickBot="1" x14ac:dyDescent="0.3">
      <c r="A52" s="21">
        <v>48</v>
      </c>
      <c r="B52" s="150">
        <f>'X. Satser pensjonstilskudd'!B52</f>
        <v>0</v>
      </c>
      <c r="C52" s="18">
        <f>'X. Satser pensjonstilskudd'!C52</f>
        <v>0</v>
      </c>
      <c r="D52" s="18" t="str">
        <f>IFERROR(_xlfn.XLOOKUP($C52,factPensjon[Virksomhetsnr.],factPensjon[Forpliktelser]),"")</f>
        <v/>
      </c>
      <c r="E52" s="148">
        <f>SUMIFS(BasilRadata[Heltidsplasser
0-2],BasilRadata[År],'0. Oppsett'!$C$7-1,BasilRadata[1B. Organisasjonsnummer:],$C52)</f>
        <v>0</v>
      </c>
      <c r="F52" s="25">
        <f>'4. Selvkost og satser'!$B$54</f>
        <v>288170.9461329499</v>
      </c>
      <c r="G52" s="148">
        <f>SUMIFS(BasilRadata[Heltidsplasser
3-6],BasilRadata[År],'0. Oppsett'!$C$7-1,BasilRadata[1B. Organisasjonsnummer:],$C52)</f>
        <v>0</v>
      </c>
      <c r="H52" s="25">
        <f>'4. Selvkost og satser'!$B$55</f>
        <v>156604.23359926464</v>
      </c>
      <c r="I52" s="172">
        <f t="shared" si="1"/>
        <v>0</v>
      </c>
      <c r="J52" s="176">
        <f>SUMIFS(BasilRadata[8E. Oppgi antall årsverk barnehagen har pensjonsforpliktelser for:],BasilRadata[År],'0. Oppsett'!$C$7-1,BasilRadata[1B. Organisasjonsnummer:],'X. Utbetalingsmodul'!$C52)</f>
        <v>0</v>
      </c>
      <c r="K52" s="172" t="e">
        <f>_xlfn.XLOOKUP(C52,'X. Satser pensjonstilskudd'!$C$5:$C$224,'X. Satser pensjonstilskudd'!$I$5:$I$224)</f>
        <v>#DIV/0!</v>
      </c>
      <c r="L52" s="173" t="e">
        <f t="shared" si="2"/>
        <v>#DIV/0!</v>
      </c>
      <c r="M52" s="147">
        <f t="shared" si="3"/>
        <v>0</v>
      </c>
      <c r="N52" s="32">
        <f>IFERROR(M52*'0. Oppsett'!$C$30,0)</f>
        <v>0</v>
      </c>
      <c r="O52" s="33">
        <v>0</v>
      </c>
      <c r="P52" s="33"/>
      <c r="Q52" s="33"/>
      <c r="R52" s="33"/>
      <c r="S52" s="33">
        <v>0</v>
      </c>
      <c r="T52" s="34">
        <v>0</v>
      </c>
      <c r="U52" s="35">
        <f t="shared" si="4"/>
        <v>0</v>
      </c>
    </row>
    <row r="53" spans="1:21" ht="15.75" thickBot="1" x14ac:dyDescent="0.3">
      <c r="A53" s="17">
        <v>49</v>
      </c>
      <c r="B53" s="150">
        <f>'X. Satser pensjonstilskudd'!B53</f>
        <v>0</v>
      </c>
      <c r="C53" s="18">
        <f>'X. Satser pensjonstilskudd'!C53</f>
        <v>0</v>
      </c>
      <c r="D53" s="18" t="str">
        <f>IFERROR(_xlfn.XLOOKUP($C53,factPensjon[Virksomhetsnr.],factPensjon[Forpliktelser]),"")</f>
        <v/>
      </c>
      <c r="E53" s="148">
        <f>SUMIFS(BasilRadata[Heltidsplasser
0-2],BasilRadata[År],'0. Oppsett'!$C$7-1,BasilRadata[1B. Organisasjonsnummer:],$C53)</f>
        <v>0</v>
      </c>
      <c r="F53" s="25">
        <f>'4. Selvkost og satser'!$B$54</f>
        <v>288170.9461329499</v>
      </c>
      <c r="G53" s="148">
        <f>SUMIFS(BasilRadata[Heltidsplasser
3-6],BasilRadata[År],'0. Oppsett'!$C$7-1,BasilRadata[1B. Organisasjonsnummer:],$C53)</f>
        <v>0</v>
      </c>
      <c r="H53" s="25">
        <f>'4. Selvkost og satser'!$B$55</f>
        <v>156604.23359926464</v>
      </c>
      <c r="I53" s="172">
        <f t="shared" si="1"/>
        <v>0</v>
      </c>
      <c r="J53" s="176">
        <f>SUMIFS(BasilRadata[8E. Oppgi antall årsverk barnehagen har pensjonsforpliktelser for:],BasilRadata[År],'0. Oppsett'!$C$7-1,BasilRadata[1B. Organisasjonsnummer:],'X. Utbetalingsmodul'!$C53)</f>
        <v>0</v>
      </c>
      <c r="K53" s="172" t="e">
        <f>_xlfn.XLOOKUP(C53,'X. Satser pensjonstilskudd'!$C$5:$C$224,'X. Satser pensjonstilskudd'!$I$5:$I$224)</f>
        <v>#DIV/0!</v>
      </c>
      <c r="L53" s="173" t="e">
        <f t="shared" si="2"/>
        <v>#DIV/0!</v>
      </c>
      <c r="M53" s="147">
        <f t="shared" si="3"/>
        <v>0</v>
      </c>
      <c r="N53" s="32">
        <f>IFERROR(M53*'0. Oppsett'!$C$30,0)</f>
        <v>0</v>
      </c>
      <c r="O53" s="33">
        <v>0</v>
      </c>
      <c r="P53" s="33"/>
      <c r="Q53" s="33"/>
      <c r="R53" s="33"/>
      <c r="S53" s="33">
        <v>0</v>
      </c>
      <c r="T53" s="34">
        <v>0</v>
      </c>
      <c r="U53" s="35">
        <f t="shared" si="4"/>
        <v>0</v>
      </c>
    </row>
    <row r="54" spans="1:21" ht="15.75" thickBot="1" x14ac:dyDescent="0.3">
      <c r="A54" s="21">
        <v>50</v>
      </c>
      <c r="B54" s="150">
        <f>'X. Satser pensjonstilskudd'!B54</f>
        <v>0</v>
      </c>
      <c r="C54" s="18">
        <f>'X. Satser pensjonstilskudd'!C54</f>
        <v>0</v>
      </c>
      <c r="D54" s="18" t="str">
        <f>IFERROR(_xlfn.XLOOKUP($C54,factPensjon[Virksomhetsnr.],factPensjon[Forpliktelser]),"")</f>
        <v/>
      </c>
      <c r="E54" s="148">
        <f>SUMIFS(BasilRadata[Heltidsplasser
0-2],BasilRadata[År],'0. Oppsett'!$C$7-1,BasilRadata[1B. Organisasjonsnummer:],$C54)</f>
        <v>0</v>
      </c>
      <c r="F54" s="25">
        <f>'4. Selvkost og satser'!$B$54</f>
        <v>288170.9461329499</v>
      </c>
      <c r="G54" s="148">
        <f>SUMIFS(BasilRadata[Heltidsplasser
3-6],BasilRadata[År],'0. Oppsett'!$C$7-1,BasilRadata[1B. Organisasjonsnummer:],$C54)</f>
        <v>0</v>
      </c>
      <c r="H54" s="25">
        <f>'4. Selvkost og satser'!$B$55</f>
        <v>156604.23359926464</v>
      </c>
      <c r="I54" s="172">
        <f t="shared" si="1"/>
        <v>0</v>
      </c>
      <c r="J54" s="176">
        <f>SUMIFS(BasilRadata[8E. Oppgi antall årsverk barnehagen har pensjonsforpliktelser for:],BasilRadata[År],'0. Oppsett'!$C$7-1,BasilRadata[1B. Organisasjonsnummer:],'X. Utbetalingsmodul'!$C54)</f>
        <v>0</v>
      </c>
      <c r="K54" s="172" t="e">
        <f>_xlfn.XLOOKUP(C54,'X. Satser pensjonstilskudd'!$C$5:$C$224,'X. Satser pensjonstilskudd'!$I$5:$I$224)</f>
        <v>#DIV/0!</v>
      </c>
      <c r="L54" s="173" t="e">
        <f t="shared" si="2"/>
        <v>#DIV/0!</v>
      </c>
      <c r="M54" s="147">
        <f t="shared" si="3"/>
        <v>0</v>
      </c>
      <c r="N54" s="32">
        <f>IFERROR(M54*'0. Oppsett'!$C$30,0)</f>
        <v>0</v>
      </c>
      <c r="O54" s="33">
        <v>0</v>
      </c>
      <c r="P54" s="33"/>
      <c r="Q54" s="33"/>
      <c r="R54" s="33"/>
      <c r="S54" s="33">
        <v>0</v>
      </c>
      <c r="T54" s="34">
        <v>0</v>
      </c>
      <c r="U54" s="35">
        <f t="shared" si="4"/>
        <v>0</v>
      </c>
    </row>
    <row r="55" spans="1:21" ht="15.75" thickBot="1" x14ac:dyDescent="0.3">
      <c r="A55" s="17">
        <v>51</v>
      </c>
      <c r="B55" s="150">
        <f>'X. Satser pensjonstilskudd'!B55</f>
        <v>0</v>
      </c>
      <c r="C55" s="18">
        <f>'X. Satser pensjonstilskudd'!C55</f>
        <v>0</v>
      </c>
      <c r="D55" s="18" t="str">
        <f>IFERROR(_xlfn.XLOOKUP($C55,factPensjon[Virksomhetsnr.],factPensjon[Forpliktelser]),"")</f>
        <v/>
      </c>
      <c r="E55" s="148">
        <f>SUMIFS(BasilRadata[Heltidsplasser
0-2],BasilRadata[År],'0. Oppsett'!$C$7-1,BasilRadata[1B. Organisasjonsnummer:],$C55)</f>
        <v>0</v>
      </c>
      <c r="F55" s="25">
        <f>'4. Selvkost og satser'!$B$54</f>
        <v>288170.9461329499</v>
      </c>
      <c r="G55" s="148">
        <f>SUMIFS(BasilRadata[Heltidsplasser
3-6],BasilRadata[År],'0. Oppsett'!$C$7-1,BasilRadata[1B. Organisasjonsnummer:],$C55)</f>
        <v>0</v>
      </c>
      <c r="H55" s="25">
        <f>'4. Selvkost og satser'!$B$55</f>
        <v>156604.23359926464</v>
      </c>
      <c r="I55" s="172">
        <f t="shared" si="1"/>
        <v>0</v>
      </c>
      <c r="J55" s="176">
        <f>SUMIFS(BasilRadata[8E. Oppgi antall årsverk barnehagen har pensjonsforpliktelser for:],BasilRadata[År],'0. Oppsett'!$C$7-1,BasilRadata[1B. Organisasjonsnummer:],'X. Utbetalingsmodul'!$C55)</f>
        <v>0</v>
      </c>
      <c r="K55" s="172" t="e">
        <f>_xlfn.XLOOKUP(C55,'X. Satser pensjonstilskudd'!$C$5:$C$224,'X. Satser pensjonstilskudd'!$I$5:$I$224)</f>
        <v>#DIV/0!</v>
      </c>
      <c r="L55" s="173" t="e">
        <f t="shared" si="2"/>
        <v>#DIV/0!</v>
      </c>
      <c r="M55" s="147">
        <f t="shared" si="3"/>
        <v>0</v>
      </c>
      <c r="N55" s="32">
        <f>IFERROR(M55*'0. Oppsett'!$C$30,0)</f>
        <v>0</v>
      </c>
      <c r="O55" s="33">
        <v>0</v>
      </c>
      <c r="P55" s="33"/>
      <c r="Q55" s="33"/>
      <c r="R55" s="33"/>
      <c r="S55" s="33">
        <v>0</v>
      </c>
      <c r="T55" s="34">
        <v>0</v>
      </c>
      <c r="U55" s="35">
        <f t="shared" si="4"/>
        <v>0</v>
      </c>
    </row>
    <row r="56" spans="1:21" ht="15.75" thickBot="1" x14ac:dyDescent="0.3">
      <c r="A56" s="21">
        <v>52</v>
      </c>
      <c r="B56" s="150">
        <f>'X. Satser pensjonstilskudd'!B56</f>
        <v>0</v>
      </c>
      <c r="C56" s="18">
        <f>'X. Satser pensjonstilskudd'!C56</f>
        <v>0</v>
      </c>
      <c r="D56" s="18" t="str">
        <f>IFERROR(_xlfn.XLOOKUP($C56,factPensjon[Virksomhetsnr.],factPensjon[Forpliktelser]),"")</f>
        <v/>
      </c>
      <c r="E56" s="148">
        <f>SUMIFS(BasilRadata[Heltidsplasser
0-2],BasilRadata[År],'0. Oppsett'!$C$7-1,BasilRadata[1B. Organisasjonsnummer:],$C56)</f>
        <v>0</v>
      </c>
      <c r="F56" s="25">
        <f>'4. Selvkost og satser'!$B$54</f>
        <v>288170.9461329499</v>
      </c>
      <c r="G56" s="148">
        <f>SUMIFS(BasilRadata[Heltidsplasser
3-6],BasilRadata[År],'0. Oppsett'!$C$7-1,BasilRadata[1B. Organisasjonsnummer:],$C56)</f>
        <v>0</v>
      </c>
      <c r="H56" s="25">
        <f>'4. Selvkost og satser'!$B$55</f>
        <v>156604.23359926464</v>
      </c>
      <c r="I56" s="172">
        <f t="shared" si="1"/>
        <v>0</v>
      </c>
      <c r="J56" s="176">
        <f>SUMIFS(BasilRadata[8E. Oppgi antall årsverk barnehagen har pensjonsforpliktelser for:],BasilRadata[År],'0. Oppsett'!$C$7-1,BasilRadata[1B. Organisasjonsnummer:],'X. Utbetalingsmodul'!$C56)</f>
        <v>0</v>
      </c>
      <c r="K56" s="172" t="e">
        <f>_xlfn.XLOOKUP(C56,'X. Satser pensjonstilskudd'!$C$5:$C$224,'X. Satser pensjonstilskudd'!$I$5:$I$224)</f>
        <v>#DIV/0!</v>
      </c>
      <c r="L56" s="173" t="e">
        <f t="shared" si="2"/>
        <v>#DIV/0!</v>
      </c>
      <c r="M56" s="147">
        <f t="shared" si="3"/>
        <v>0</v>
      </c>
      <c r="N56" s="32">
        <f>IFERROR(M56*'0. Oppsett'!$C$30,0)</f>
        <v>0</v>
      </c>
      <c r="O56" s="33">
        <v>0</v>
      </c>
      <c r="P56" s="33"/>
      <c r="Q56" s="33"/>
      <c r="R56" s="33"/>
      <c r="S56" s="33">
        <v>0</v>
      </c>
      <c r="T56" s="34">
        <v>0</v>
      </c>
      <c r="U56" s="35">
        <f t="shared" si="4"/>
        <v>0</v>
      </c>
    </row>
    <row r="57" spans="1:21" ht="15.75" thickBot="1" x14ac:dyDescent="0.3">
      <c r="A57" s="17">
        <v>53</v>
      </c>
      <c r="B57" s="150">
        <f>'X. Satser pensjonstilskudd'!B57</f>
        <v>0</v>
      </c>
      <c r="C57" s="18">
        <f>'X. Satser pensjonstilskudd'!C57</f>
        <v>0</v>
      </c>
      <c r="D57" s="18" t="str">
        <f>IFERROR(_xlfn.XLOOKUP($C57,factPensjon[Virksomhetsnr.],factPensjon[Forpliktelser]),"")</f>
        <v/>
      </c>
      <c r="E57" s="148">
        <f>SUMIFS(BasilRadata[Heltidsplasser
0-2],BasilRadata[År],'0. Oppsett'!$C$7-1,BasilRadata[1B. Organisasjonsnummer:],$C57)</f>
        <v>0</v>
      </c>
      <c r="F57" s="25">
        <f>'4. Selvkost og satser'!$B$54</f>
        <v>288170.9461329499</v>
      </c>
      <c r="G57" s="148">
        <f>SUMIFS(BasilRadata[Heltidsplasser
3-6],BasilRadata[År],'0. Oppsett'!$C$7-1,BasilRadata[1B. Organisasjonsnummer:],$C57)</f>
        <v>0</v>
      </c>
      <c r="H57" s="25">
        <f>'4. Selvkost og satser'!$B$55</f>
        <v>156604.23359926464</v>
      </c>
      <c r="I57" s="172">
        <f t="shared" si="1"/>
        <v>0</v>
      </c>
      <c r="J57" s="176">
        <f>SUMIFS(BasilRadata[8E. Oppgi antall årsverk barnehagen har pensjonsforpliktelser for:],BasilRadata[År],'0. Oppsett'!$C$7-1,BasilRadata[1B. Organisasjonsnummer:],'X. Utbetalingsmodul'!$C57)</f>
        <v>0</v>
      </c>
      <c r="K57" s="172" t="e">
        <f>_xlfn.XLOOKUP(C57,'X. Satser pensjonstilskudd'!$C$5:$C$224,'X. Satser pensjonstilskudd'!$I$5:$I$224)</f>
        <v>#DIV/0!</v>
      </c>
      <c r="L57" s="173" t="e">
        <f t="shared" si="2"/>
        <v>#DIV/0!</v>
      </c>
      <c r="M57" s="147">
        <f t="shared" si="3"/>
        <v>0</v>
      </c>
      <c r="N57" s="32">
        <f>IFERROR(M57*'0. Oppsett'!$C$30,0)</f>
        <v>0</v>
      </c>
      <c r="O57" s="33">
        <v>0</v>
      </c>
      <c r="P57" s="33"/>
      <c r="Q57" s="33"/>
      <c r="R57" s="33"/>
      <c r="S57" s="33">
        <v>0</v>
      </c>
      <c r="T57" s="34">
        <v>0</v>
      </c>
      <c r="U57" s="35">
        <f t="shared" si="4"/>
        <v>0</v>
      </c>
    </row>
    <row r="58" spans="1:21" ht="15.75" thickBot="1" x14ac:dyDescent="0.3">
      <c r="A58" s="21">
        <v>54</v>
      </c>
      <c r="B58" s="150">
        <f>'X. Satser pensjonstilskudd'!B58</f>
        <v>0</v>
      </c>
      <c r="C58" s="18">
        <f>'X. Satser pensjonstilskudd'!C58</f>
        <v>0</v>
      </c>
      <c r="D58" s="18" t="str">
        <f>IFERROR(_xlfn.XLOOKUP($C58,factPensjon[Virksomhetsnr.],factPensjon[Forpliktelser]),"")</f>
        <v/>
      </c>
      <c r="E58" s="148">
        <f>SUMIFS(BasilRadata[Heltidsplasser
0-2],BasilRadata[År],'0. Oppsett'!$C$7-1,BasilRadata[1B. Organisasjonsnummer:],$C58)</f>
        <v>0</v>
      </c>
      <c r="F58" s="25">
        <f>'4. Selvkost og satser'!$B$54</f>
        <v>288170.9461329499</v>
      </c>
      <c r="G58" s="148">
        <f>SUMIFS(BasilRadata[Heltidsplasser
3-6],BasilRadata[År],'0. Oppsett'!$C$7-1,BasilRadata[1B. Organisasjonsnummer:],$C58)</f>
        <v>0</v>
      </c>
      <c r="H58" s="25">
        <f>'4. Selvkost og satser'!$B$55</f>
        <v>156604.23359926464</v>
      </c>
      <c r="I58" s="172">
        <f t="shared" si="1"/>
        <v>0</v>
      </c>
      <c r="J58" s="176">
        <f>SUMIFS(BasilRadata[8E. Oppgi antall årsverk barnehagen har pensjonsforpliktelser for:],BasilRadata[År],'0. Oppsett'!$C$7-1,BasilRadata[1B. Organisasjonsnummer:],'X. Utbetalingsmodul'!$C58)</f>
        <v>0</v>
      </c>
      <c r="K58" s="172" t="e">
        <f>_xlfn.XLOOKUP(C58,'X. Satser pensjonstilskudd'!$C$5:$C$224,'X. Satser pensjonstilskudd'!$I$5:$I$224)</f>
        <v>#DIV/0!</v>
      </c>
      <c r="L58" s="173" t="e">
        <f t="shared" si="2"/>
        <v>#DIV/0!</v>
      </c>
      <c r="M58" s="147">
        <f t="shared" si="3"/>
        <v>0</v>
      </c>
      <c r="N58" s="32">
        <f>IFERROR(M58*'0. Oppsett'!$C$30,0)</f>
        <v>0</v>
      </c>
      <c r="O58" s="33">
        <v>0</v>
      </c>
      <c r="P58" s="33"/>
      <c r="Q58" s="33"/>
      <c r="R58" s="33"/>
      <c r="S58" s="33">
        <v>0</v>
      </c>
      <c r="T58" s="34">
        <v>0</v>
      </c>
      <c r="U58" s="35">
        <f t="shared" si="4"/>
        <v>0</v>
      </c>
    </row>
    <row r="59" spans="1:21" ht="15.75" thickBot="1" x14ac:dyDescent="0.3">
      <c r="A59" s="17">
        <v>55</v>
      </c>
      <c r="B59" s="150">
        <f>'X. Satser pensjonstilskudd'!B59</f>
        <v>0</v>
      </c>
      <c r="C59" s="18">
        <f>'X. Satser pensjonstilskudd'!C59</f>
        <v>0</v>
      </c>
      <c r="D59" s="18" t="str">
        <f>IFERROR(_xlfn.XLOOKUP($C59,factPensjon[Virksomhetsnr.],factPensjon[Forpliktelser]),"")</f>
        <v/>
      </c>
      <c r="E59" s="148">
        <f>SUMIFS(BasilRadata[Heltidsplasser
0-2],BasilRadata[År],'0. Oppsett'!$C$7-1,BasilRadata[1B. Organisasjonsnummer:],$C59)</f>
        <v>0</v>
      </c>
      <c r="F59" s="25">
        <f>'4. Selvkost og satser'!$B$54</f>
        <v>288170.9461329499</v>
      </c>
      <c r="G59" s="148">
        <f>SUMIFS(BasilRadata[Heltidsplasser
3-6],BasilRadata[År],'0. Oppsett'!$C$7-1,BasilRadata[1B. Organisasjonsnummer:],$C59)</f>
        <v>0</v>
      </c>
      <c r="H59" s="25">
        <f>'4. Selvkost og satser'!$B$55</f>
        <v>156604.23359926464</v>
      </c>
      <c r="I59" s="172">
        <f t="shared" si="1"/>
        <v>0</v>
      </c>
      <c r="J59" s="176">
        <f>SUMIFS(BasilRadata[8E. Oppgi antall årsverk barnehagen har pensjonsforpliktelser for:],BasilRadata[År],'0. Oppsett'!$C$7-1,BasilRadata[1B. Organisasjonsnummer:],'X. Utbetalingsmodul'!$C59)</f>
        <v>0</v>
      </c>
      <c r="K59" s="172" t="e">
        <f>_xlfn.XLOOKUP(C59,'X. Satser pensjonstilskudd'!$C$5:$C$224,'X. Satser pensjonstilskudd'!$I$5:$I$224)</f>
        <v>#DIV/0!</v>
      </c>
      <c r="L59" s="173" t="e">
        <f t="shared" si="2"/>
        <v>#DIV/0!</v>
      </c>
      <c r="M59" s="147">
        <f t="shared" si="3"/>
        <v>0</v>
      </c>
      <c r="N59" s="32">
        <f>IFERROR(M59*'0. Oppsett'!$C$30,0)</f>
        <v>0</v>
      </c>
      <c r="O59" s="33">
        <v>0</v>
      </c>
      <c r="P59" s="33"/>
      <c r="Q59" s="33"/>
      <c r="R59" s="33"/>
      <c r="S59" s="33">
        <v>0</v>
      </c>
      <c r="T59" s="34">
        <v>0</v>
      </c>
      <c r="U59" s="35">
        <f t="shared" si="4"/>
        <v>0</v>
      </c>
    </row>
    <row r="60" spans="1:21" ht="15.75" thickBot="1" x14ac:dyDescent="0.3">
      <c r="A60" s="21">
        <v>56</v>
      </c>
      <c r="B60" s="150">
        <f>'X. Satser pensjonstilskudd'!B60</f>
        <v>0</v>
      </c>
      <c r="C60" s="18">
        <f>'X. Satser pensjonstilskudd'!C60</f>
        <v>0</v>
      </c>
      <c r="D60" s="18" t="str">
        <f>IFERROR(_xlfn.XLOOKUP($C60,factPensjon[Virksomhetsnr.],factPensjon[Forpliktelser]),"")</f>
        <v/>
      </c>
      <c r="E60" s="148">
        <f>SUMIFS(BasilRadata[Heltidsplasser
0-2],BasilRadata[År],'0. Oppsett'!$C$7-1,BasilRadata[1B. Organisasjonsnummer:],$C60)</f>
        <v>0</v>
      </c>
      <c r="F60" s="25">
        <f>'4. Selvkost og satser'!$B$54</f>
        <v>288170.9461329499</v>
      </c>
      <c r="G60" s="148">
        <f>SUMIFS(BasilRadata[Heltidsplasser
3-6],BasilRadata[År],'0. Oppsett'!$C$7-1,BasilRadata[1B. Organisasjonsnummer:],$C60)</f>
        <v>0</v>
      </c>
      <c r="H60" s="25">
        <f>'4. Selvkost og satser'!$B$55</f>
        <v>156604.23359926464</v>
      </c>
      <c r="I60" s="172">
        <f t="shared" si="1"/>
        <v>0</v>
      </c>
      <c r="J60" s="176">
        <f>SUMIFS(BasilRadata[8E. Oppgi antall årsverk barnehagen har pensjonsforpliktelser for:],BasilRadata[År],'0. Oppsett'!$C$7-1,BasilRadata[1B. Organisasjonsnummer:],'X. Utbetalingsmodul'!$C60)</f>
        <v>0</v>
      </c>
      <c r="K60" s="172" t="e">
        <f>_xlfn.XLOOKUP(C60,'X. Satser pensjonstilskudd'!$C$5:$C$224,'X. Satser pensjonstilskudd'!$I$5:$I$224)</f>
        <v>#DIV/0!</v>
      </c>
      <c r="L60" s="173" t="e">
        <f t="shared" si="2"/>
        <v>#DIV/0!</v>
      </c>
      <c r="M60" s="147">
        <f t="shared" si="3"/>
        <v>0</v>
      </c>
      <c r="N60" s="32">
        <f>IFERROR(M60*'0. Oppsett'!$C$30,0)</f>
        <v>0</v>
      </c>
      <c r="O60" s="33">
        <v>0</v>
      </c>
      <c r="P60" s="33"/>
      <c r="Q60" s="33"/>
      <c r="R60" s="33"/>
      <c r="S60" s="33">
        <v>0</v>
      </c>
      <c r="T60" s="34">
        <v>0</v>
      </c>
      <c r="U60" s="35">
        <f t="shared" si="4"/>
        <v>0</v>
      </c>
    </row>
    <row r="61" spans="1:21" ht="15.75" thickBot="1" x14ac:dyDescent="0.3">
      <c r="A61" s="17">
        <v>57</v>
      </c>
      <c r="B61" s="150">
        <f>'X. Satser pensjonstilskudd'!B61</f>
        <v>0</v>
      </c>
      <c r="C61" s="18">
        <f>'X. Satser pensjonstilskudd'!C61</f>
        <v>0</v>
      </c>
      <c r="D61" s="18" t="str">
        <f>IFERROR(_xlfn.XLOOKUP($C61,factPensjon[Virksomhetsnr.],factPensjon[Forpliktelser]),"")</f>
        <v/>
      </c>
      <c r="E61" s="148">
        <f>SUMIFS(BasilRadata[Heltidsplasser
0-2],BasilRadata[År],'0. Oppsett'!$C$7-1,BasilRadata[1B. Organisasjonsnummer:],$C61)</f>
        <v>0</v>
      </c>
      <c r="F61" s="25">
        <f>'4. Selvkost og satser'!$B$54</f>
        <v>288170.9461329499</v>
      </c>
      <c r="G61" s="148">
        <f>SUMIFS(BasilRadata[Heltidsplasser
3-6],BasilRadata[År],'0. Oppsett'!$C$7-1,BasilRadata[1B. Organisasjonsnummer:],$C61)</f>
        <v>0</v>
      </c>
      <c r="H61" s="25">
        <f>'4. Selvkost og satser'!$B$55</f>
        <v>156604.23359926464</v>
      </c>
      <c r="I61" s="172">
        <f t="shared" si="1"/>
        <v>0</v>
      </c>
      <c r="J61" s="176">
        <f>SUMIFS(BasilRadata[8E. Oppgi antall årsverk barnehagen har pensjonsforpliktelser for:],BasilRadata[År],'0. Oppsett'!$C$7-1,BasilRadata[1B. Organisasjonsnummer:],'X. Utbetalingsmodul'!$C61)</f>
        <v>0</v>
      </c>
      <c r="K61" s="172" t="e">
        <f>_xlfn.XLOOKUP(C61,'X. Satser pensjonstilskudd'!$C$5:$C$224,'X. Satser pensjonstilskudd'!$I$5:$I$224)</f>
        <v>#DIV/0!</v>
      </c>
      <c r="L61" s="173" t="e">
        <f t="shared" si="2"/>
        <v>#DIV/0!</v>
      </c>
      <c r="M61" s="147">
        <f t="shared" si="3"/>
        <v>0</v>
      </c>
      <c r="N61" s="32">
        <f>IFERROR(M61*'0. Oppsett'!$C$30,0)</f>
        <v>0</v>
      </c>
      <c r="O61" s="33">
        <v>0</v>
      </c>
      <c r="P61" s="33"/>
      <c r="Q61" s="33"/>
      <c r="R61" s="33"/>
      <c r="S61" s="33">
        <v>0</v>
      </c>
      <c r="T61" s="34">
        <v>0</v>
      </c>
      <c r="U61" s="35">
        <f t="shared" si="4"/>
        <v>0</v>
      </c>
    </row>
    <row r="62" spans="1:21" ht="15.75" thickBot="1" x14ac:dyDescent="0.3">
      <c r="A62" s="21">
        <v>58</v>
      </c>
      <c r="B62" s="150">
        <f>'X. Satser pensjonstilskudd'!B62</f>
        <v>0</v>
      </c>
      <c r="C62" s="18">
        <f>'X. Satser pensjonstilskudd'!C62</f>
        <v>0</v>
      </c>
      <c r="D62" s="18" t="str">
        <f>IFERROR(_xlfn.XLOOKUP($C62,factPensjon[Virksomhetsnr.],factPensjon[Forpliktelser]),"")</f>
        <v/>
      </c>
      <c r="E62" s="148">
        <f>SUMIFS(BasilRadata[Heltidsplasser
0-2],BasilRadata[År],'0. Oppsett'!$C$7-1,BasilRadata[1B. Organisasjonsnummer:],$C62)</f>
        <v>0</v>
      </c>
      <c r="F62" s="25">
        <f>'4. Selvkost og satser'!$B$54</f>
        <v>288170.9461329499</v>
      </c>
      <c r="G62" s="148">
        <f>SUMIFS(BasilRadata[Heltidsplasser
3-6],BasilRadata[År],'0. Oppsett'!$C$7-1,BasilRadata[1B. Organisasjonsnummer:],$C62)</f>
        <v>0</v>
      </c>
      <c r="H62" s="25">
        <f>'4. Selvkost og satser'!$B$55</f>
        <v>156604.23359926464</v>
      </c>
      <c r="I62" s="172">
        <f t="shared" si="1"/>
        <v>0</v>
      </c>
      <c r="J62" s="176">
        <f>SUMIFS(BasilRadata[8E. Oppgi antall årsverk barnehagen har pensjonsforpliktelser for:],BasilRadata[År],'0. Oppsett'!$C$7-1,BasilRadata[1B. Organisasjonsnummer:],'X. Utbetalingsmodul'!$C62)</f>
        <v>0</v>
      </c>
      <c r="K62" s="172" t="e">
        <f>_xlfn.XLOOKUP(C62,'X. Satser pensjonstilskudd'!$C$5:$C$224,'X. Satser pensjonstilskudd'!$I$5:$I$224)</f>
        <v>#DIV/0!</v>
      </c>
      <c r="L62" s="173" t="e">
        <f t="shared" si="2"/>
        <v>#DIV/0!</v>
      </c>
      <c r="M62" s="147">
        <f t="shared" si="3"/>
        <v>0</v>
      </c>
      <c r="N62" s="32">
        <f>IFERROR(M62*'0. Oppsett'!$C$30,0)</f>
        <v>0</v>
      </c>
      <c r="O62" s="33">
        <v>0</v>
      </c>
      <c r="P62" s="33"/>
      <c r="Q62" s="33"/>
      <c r="R62" s="33"/>
      <c r="S62" s="33">
        <v>0</v>
      </c>
      <c r="T62" s="34">
        <v>0</v>
      </c>
      <c r="U62" s="35">
        <f t="shared" si="4"/>
        <v>0</v>
      </c>
    </row>
    <row r="63" spans="1:21" ht="15.75" thickBot="1" x14ac:dyDescent="0.3">
      <c r="A63" s="17">
        <v>59</v>
      </c>
      <c r="B63" s="150">
        <f>'X. Satser pensjonstilskudd'!B63</f>
        <v>0</v>
      </c>
      <c r="C63" s="18">
        <f>'X. Satser pensjonstilskudd'!C63</f>
        <v>0</v>
      </c>
      <c r="D63" s="18" t="str">
        <f>IFERROR(_xlfn.XLOOKUP($C63,factPensjon[Virksomhetsnr.],factPensjon[Forpliktelser]),"")</f>
        <v/>
      </c>
      <c r="E63" s="148">
        <f>SUMIFS(BasilRadata[Heltidsplasser
0-2],BasilRadata[År],'0. Oppsett'!$C$7-1,BasilRadata[1B. Organisasjonsnummer:],$C63)</f>
        <v>0</v>
      </c>
      <c r="F63" s="25">
        <f>'4. Selvkost og satser'!$B$54</f>
        <v>288170.9461329499</v>
      </c>
      <c r="G63" s="148">
        <f>SUMIFS(BasilRadata[Heltidsplasser
3-6],BasilRadata[År],'0. Oppsett'!$C$7-1,BasilRadata[1B. Organisasjonsnummer:],$C63)</f>
        <v>0</v>
      </c>
      <c r="H63" s="25">
        <f>'4. Selvkost og satser'!$B$55</f>
        <v>156604.23359926464</v>
      </c>
      <c r="I63" s="172">
        <f t="shared" si="1"/>
        <v>0</v>
      </c>
      <c r="J63" s="176">
        <f>SUMIFS(BasilRadata[8E. Oppgi antall årsverk barnehagen har pensjonsforpliktelser for:],BasilRadata[År],'0. Oppsett'!$C$7-1,BasilRadata[1B. Organisasjonsnummer:],'X. Utbetalingsmodul'!$C63)</f>
        <v>0</v>
      </c>
      <c r="K63" s="172" t="e">
        <f>_xlfn.XLOOKUP(C63,'X. Satser pensjonstilskudd'!$C$5:$C$224,'X. Satser pensjonstilskudd'!$I$5:$I$224)</f>
        <v>#DIV/0!</v>
      </c>
      <c r="L63" s="173" t="e">
        <f t="shared" si="2"/>
        <v>#DIV/0!</v>
      </c>
      <c r="M63" s="147">
        <f t="shared" si="3"/>
        <v>0</v>
      </c>
      <c r="N63" s="32">
        <f>IFERROR(M63*'0. Oppsett'!$C$30,0)</f>
        <v>0</v>
      </c>
      <c r="O63" s="33">
        <v>0</v>
      </c>
      <c r="P63" s="33"/>
      <c r="Q63" s="33"/>
      <c r="R63" s="33"/>
      <c r="S63" s="33">
        <v>0</v>
      </c>
      <c r="T63" s="34">
        <v>0</v>
      </c>
      <c r="U63" s="35">
        <f t="shared" si="4"/>
        <v>0</v>
      </c>
    </row>
    <row r="64" spans="1:21" ht="15.75" thickBot="1" x14ac:dyDescent="0.3">
      <c r="A64" s="21">
        <v>60</v>
      </c>
      <c r="B64" s="150">
        <f>'X. Satser pensjonstilskudd'!B64</f>
        <v>0</v>
      </c>
      <c r="C64" s="18">
        <f>'X. Satser pensjonstilskudd'!C64</f>
        <v>0</v>
      </c>
      <c r="D64" s="18" t="str">
        <f>IFERROR(_xlfn.XLOOKUP($C64,factPensjon[Virksomhetsnr.],factPensjon[Forpliktelser]),"")</f>
        <v/>
      </c>
      <c r="E64" s="148">
        <f>SUMIFS(BasilRadata[Heltidsplasser
0-2],BasilRadata[År],'0. Oppsett'!$C$7-1,BasilRadata[1B. Organisasjonsnummer:],$C64)</f>
        <v>0</v>
      </c>
      <c r="F64" s="25">
        <f>'4. Selvkost og satser'!$B$54</f>
        <v>288170.9461329499</v>
      </c>
      <c r="G64" s="148">
        <f>SUMIFS(BasilRadata[Heltidsplasser
3-6],BasilRadata[År],'0. Oppsett'!$C$7-1,BasilRadata[1B. Organisasjonsnummer:],$C64)</f>
        <v>0</v>
      </c>
      <c r="H64" s="25">
        <f>'4. Selvkost og satser'!$B$55</f>
        <v>156604.23359926464</v>
      </c>
      <c r="I64" s="172">
        <f t="shared" si="1"/>
        <v>0</v>
      </c>
      <c r="J64" s="176">
        <f>SUMIFS(BasilRadata[8E. Oppgi antall årsverk barnehagen har pensjonsforpliktelser for:],BasilRadata[År],'0. Oppsett'!$C$7-1,BasilRadata[1B. Organisasjonsnummer:],'X. Utbetalingsmodul'!$C64)</f>
        <v>0</v>
      </c>
      <c r="K64" s="172" t="e">
        <f>_xlfn.XLOOKUP(C64,'X. Satser pensjonstilskudd'!$C$5:$C$224,'X. Satser pensjonstilskudd'!$I$5:$I$224)</f>
        <v>#DIV/0!</v>
      </c>
      <c r="L64" s="173" t="e">
        <f t="shared" si="2"/>
        <v>#DIV/0!</v>
      </c>
      <c r="M64" s="147">
        <f t="shared" si="3"/>
        <v>0</v>
      </c>
      <c r="N64" s="32">
        <f>IFERROR(M64*'0. Oppsett'!$C$30,0)</f>
        <v>0</v>
      </c>
      <c r="O64" s="33">
        <v>0</v>
      </c>
      <c r="P64" s="33"/>
      <c r="Q64" s="33"/>
      <c r="R64" s="33"/>
      <c r="S64" s="33">
        <v>0</v>
      </c>
      <c r="T64" s="34">
        <v>0</v>
      </c>
      <c r="U64" s="35">
        <f t="shared" si="4"/>
        <v>0</v>
      </c>
    </row>
    <row r="65" spans="1:21" ht="15.75" thickBot="1" x14ac:dyDescent="0.3">
      <c r="A65" s="17">
        <v>61</v>
      </c>
      <c r="B65" s="150">
        <f>'X. Satser pensjonstilskudd'!B65</f>
        <v>0</v>
      </c>
      <c r="C65" s="18">
        <f>'X. Satser pensjonstilskudd'!C65</f>
        <v>0</v>
      </c>
      <c r="D65" s="18" t="str">
        <f>IFERROR(_xlfn.XLOOKUP($C65,factPensjon[Virksomhetsnr.],factPensjon[Forpliktelser]),"")</f>
        <v/>
      </c>
      <c r="E65" s="148">
        <f>SUMIFS(BasilRadata[Heltidsplasser
0-2],BasilRadata[År],'0. Oppsett'!$C$7-1,BasilRadata[1B. Organisasjonsnummer:],$C65)</f>
        <v>0</v>
      </c>
      <c r="F65" s="25">
        <f>'4. Selvkost og satser'!$B$54</f>
        <v>288170.9461329499</v>
      </c>
      <c r="G65" s="148">
        <f>SUMIFS(BasilRadata[Heltidsplasser
3-6],BasilRadata[År],'0. Oppsett'!$C$7-1,BasilRadata[1B. Organisasjonsnummer:],$C65)</f>
        <v>0</v>
      </c>
      <c r="H65" s="25">
        <f>'4. Selvkost og satser'!$B$55</f>
        <v>156604.23359926464</v>
      </c>
      <c r="I65" s="172">
        <f t="shared" si="1"/>
        <v>0</v>
      </c>
      <c r="J65" s="176">
        <f>SUMIFS(BasilRadata[8E. Oppgi antall årsverk barnehagen har pensjonsforpliktelser for:],BasilRadata[År],'0. Oppsett'!$C$7-1,BasilRadata[1B. Organisasjonsnummer:],'X. Utbetalingsmodul'!$C65)</f>
        <v>0</v>
      </c>
      <c r="K65" s="172" t="e">
        <f>_xlfn.XLOOKUP(C65,'X. Satser pensjonstilskudd'!$C$5:$C$224,'X. Satser pensjonstilskudd'!$I$5:$I$224)</f>
        <v>#DIV/0!</v>
      </c>
      <c r="L65" s="173" t="e">
        <f t="shared" si="2"/>
        <v>#DIV/0!</v>
      </c>
      <c r="M65" s="147">
        <f t="shared" si="3"/>
        <v>0</v>
      </c>
      <c r="N65" s="32">
        <f>IFERROR(M65*'0. Oppsett'!$C$30,0)</f>
        <v>0</v>
      </c>
      <c r="O65" s="33">
        <v>0</v>
      </c>
      <c r="P65" s="33"/>
      <c r="Q65" s="33"/>
      <c r="R65" s="33"/>
      <c r="S65" s="33">
        <v>0</v>
      </c>
      <c r="T65" s="34">
        <v>0</v>
      </c>
      <c r="U65" s="35">
        <f t="shared" si="4"/>
        <v>0</v>
      </c>
    </row>
    <row r="66" spans="1:21" ht="15.75" thickBot="1" x14ac:dyDescent="0.3">
      <c r="A66" s="21">
        <v>62</v>
      </c>
      <c r="B66" s="150">
        <f>'X. Satser pensjonstilskudd'!B66</f>
        <v>0</v>
      </c>
      <c r="C66" s="18">
        <f>'X. Satser pensjonstilskudd'!C66</f>
        <v>0</v>
      </c>
      <c r="D66" s="18" t="str">
        <f>IFERROR(_xlfn.XLOOKUP($C66,factPensjon[Virksomhetsnr.],factPensjon[Forpliktelser]),"")</f>
        <v/>
      </c>
      <c r="E66" s="148">
        <f>SUMIFS(BasilRadata[Heltidsplasser
0-2],BasilRadata[År],'0. Oppsett'!$C$7-1,BasilRadata[1B. Organisasjonsnummer:],$C66)</f>
        <v>0</v>
      </c>
      <c r="F66" s="25">
        <f>'4. Selvkost og satser'!$B$54</f>
        <v>288170.9461329499</v>
      </c>
      <c r="G66" s="148">
        <f>SUMIFS(BasilRadata[Heltidsplasser
3-6],BasilRadata[År],'0. Oppsett'!$C$7-1,BasilRadata[1B. Organisasjonsnummer:],$C66)</f>
        <v>0</v>
      </c>
      <c r="H66" s="25">
        <f>'4. Selvkost og satser'!$B$55</f>
        <v>156604.23359926464</v>
      </c>
      <c r="I66" s="172">
        <f t="shared" si="1"/>
        <v>0</v>
      </c>
      <c r="J66" s="176">
        <f>SUMIFS(BasilRadata[8E. Oppgi antall årsverk barnehagen har pensjonsforpliktelser for:],BasilRadata[År],'0. Oppsett'!$C$7-1,BasilRadata[1B. Organisasjonsnummer:],'X. Utbetalingsmodul'!$C66)</f>
        <v>0</v>
      </c>
      <c r="K66" s="172" t="e">
        <f>_xlfn.XLOOKUP(C66,'X. Satser pensjonstilskudd'!$C$5:$C$224,'X. Satser pensjonstilskudd'!$I$5:$I$224)</f>
        <v>#DIV/0!</v>
      </c>
      <c r="L66" s="173" t="e">
        <f t="shared" si="2"/>
        <v>#DIV/0!</v>
      </c>
      <c r="M66" s="147">
        <f t="shared" si="3"/>
        <v>0</v>
      </c>
      <c r="N66" s="32">
        <f>IFERROR(M66*'0. Oppsett'!$C$30,0)</f>
        <v>0</v>
      </c>
      <c r="O66" s="33">
        <v>0</v>
      </c>
      <c r="P66" s="33"/>
      <c r="Q66" s="33"/>
      <c r="R66" s="33"/>
      <c r="S66" s="33">
        <v>0</v>
      </c>
      <c r="T66" s="34">
        <v>0</v>
      </c>
      <c r="U66" s="35">
        <f t="shared" si="4"/>
        <v>0</v>
      </c>
    </row>
    <row r="67" spans="1:21" ht="15.75" thickBot="1" x14ac:dyDescent="0.3">
      <c r="A67" s="17">
        <v>63</v>
      </c>
      <c r="B67" s="150">
        <f>'X. Satser pensjonstilskudd'!B67</f>
        <v>0</v>
      </c>
      <c r="C67" s="18">
        <f>'X. Satser pensjonstilskudd'!C67</f>
        <v>0</v>
      </c>
      <c r="D67" s="18" t="str">
        <f>IFERROR(_xlfn.XLOOKUP($C67,factPensjon[Virksomhetsnr.],factPensjon[Forpliktelser]),"")</f>
        <v/>
      </c>
      <c r="E67" s="148">
        <f>SUMIFS(BasilRadata[Heltidsplasser
0-2],BasilRadata[År],'0. Oppsett'!$C$7-1,BasilRadata[1B. Organisasjonsnummer:],$C67)</f>
        <v>0</v>
      </c>
      <c r="F67" s="25">
        <f>'4. Selvkost og satser'!$B$54</f>
        <v>288170.9461329499</v>
      </c>
      <c r="G67" s="148">
        <f>SUMIFS(BasilRadata[Heltidsplasser
3-6],BasilRadata[År],'0. Oppsett'!$C$7-1,BasilRadata[1B. Organisasjonsnummer:],$C67)</f>
        <v>0</v>
      </c>
      <c r="H67" s="25">
        <f>'4. Selvkost og satser'!$B$55</f>
        <v>156604.23359926464</v>
      </c>
      <c r="I67" s="172">
        <f t="shared" si="1"/>
        <v>0</v>
      </c>
      <c r="J67" s="176">
        <f>SUMIFS(BasilRadata[8E. Oppgi antall årsverk barnehagen har pensjonsforpliktelser for:],BasilRadata[År],'0. Oppsett'!$C$7-1,BasilRadata[1B. Organisasjonsnummer:],'X. Utbetalingsmodul'!$C67)</f>
        <v>0</v>
      </c>
      <c r="K67" s="172" t="e">
        <f>_xlfn.XLOOKUP(C67,'X. Satser pensjonstilskudd'!$C$5:$C$224,'X. Satser pensjonstilskudd'!$I$5:$I$224)</f>
        <v>#DIV/0!</v>
      </c>
      <c r="L67" s="173" t="e">
        <f t="shared" si="2"/>
        <v>#DIV/0!</v>
      </c>
      <c r="M67" s="147">
        <f t="shared" si="3"/>
        <v>0</v>
      </c>
      <c r="N67" s="32">
        <f>IFERROR(M67*'0. Oppsett'!$C$30,0)</f>
        <v>0</v>
      </c>
      <c r="O67" s="33">
        <v>0</v>
      </c>
      <c r="P67" s="33"/>
      <c r="Q67" s="33"/>
      <c r="R67" s="33"/>
      <c r="S67" s="33">
        <v>0</v>
      </c>
      <c r="T67" s="34">
        <v>0</v>
      </c>
      <c r="U67" s="35">
        <f t="shared" si="4"/>
        <v>0</v>
      </c>
    </row>
    <row r="68" spans="1:21" ht="15.75" thickBot="1" x14ac:dyDescent="0.3">
      <c r="A68" s="21">
        <v>64</v>
      </c>
      <c r="B68" s="150">
        <f>'X. Satser pensjonstilskudd'!B68</f>
        <v>0</v>
      </c>
      <c r="C68" s="18">
        <f>'X. Satser pensjonstilskudd'!C68</f>
        <v>0</v>
      </c>
      <c r="D68" s="18" t="str">
        <f>IFERROR(_xlfn.XLOOKUP($C68,factPensjon[Virksomhetsnr.],factPensjon[Forpliktelser]),"")</f>
        <v/>
      </c>
      <c r="E68" s="148">
        <f>SUMIFS(BasilRadata[Heltidsplasser
0-2],BasilRadata[År],'0. Oppsett'!$C$7-1,BasilRadata[1B. Organisasjonsnummer:],$C68)</f>
        <v>0</v>
      </c>
      <c r="F68" s="25">
        <f>'4. Selvkost og satser'!$B$54</f>
        <v>288170.9461329499</v>
      </c>
      <c r="G68" s="148">
        <f>SUMIFS(BasilRadata[Heltidsplasser
3-6],BasilRadata[År],'0. Oppsett'!$C$7-1,BasilRadata[1B. Organisasjonsnummer:],$C68)</f>
        <v>0</v>
      </c>
      <c r="H68" s="25">
        <f>'4. Selvkost og satser'!$B$55</f>
        <v>156604.23359926464</v>
      </c>
      <c r="I68" s="172">
        <f t="shared" si="1"/>
        <v>0</v>
      </c>
      <c r="J68" s="176">
        <f>SUMIFS(BasilRadata[8E. Oppgi antall årsverk barnehagen har pensjonsforpliktelser for:],BasilRadata[År],'0. Oppsett'!$C$7-1,BasilRadata[1B. Organisasjonsnummer:],'X. Utbetalingsmodul'!$C68)</f>
        <v>0</v>
      </c>
      <c r="K68" s="172" t="e">
        <f>_xlfn.XLOOKUP(C68,'X. Satser pensjonstilskudd'!$C$5:$C$224,'X. Satser pensjonstilskudd'!$I$5:$I$224)</f>
        <v>#DIV/0!</v>
      </c>
      <c r="L68" s="173" t="e">
        <f t="shared" si="2"/>
        <v>#DIV/0!</v>
      </c>
      <c r="M68" s="147">
        <f t="shared" si="3"/>
        <v>0</v>
      </c>
      <c r="N68" s="32">
        <f>IFERROR(M68*'0. Oppsett'!$C$30,0)</f>
        <v>0</v>
      </c>
      <c r="O68" s="33">
        <v>0</v>
      </c>
      <c r="P68" s="33"/>
      <c r="Q68" s="33"/>
      <c r="R68" s="33"/>
      <c r="S68" s="33">
        <v>0</v>
      </c>
      <c r="T68" s="34">
        <v>0</v>
      </c>
      <c r="U68" s="35">
        <f t="shared" si="4"/>
        <v>0</v>
      </c>
    </row>
    <row r="69" spans="1:21" ht="15.75" thickBot="1" x14ac:dyDescent="0.3">
      <c r="A69" s="17">
        <v>65</v>
      </c>
      <c r="B69" s="150">
        <f>'X. Satser pensjonstilskudd'!B69</f>
        <v>0</v>
      </c>
      <c r="C69" s="18">
        <f>'X. Satser pensjonstilskudd'!C69</f>
        <v>0</v>
      </c>
      <c r="D69" s="18" t="str">
        <f>IFERROR(_xlfn.XLOOKUP($C69,factPensjon[Virksomhetsnr.],factPensjon[Forpliktelser]),"")</f>
        <v/>
      </c>
      <c r="E69" s="148">
        <f>SUMIFS(BasilRadata[Heltidsplasser
0-2],BasilRadata[År],'0. Oppsett'!$C$7-1,BasilRadata[1B. Organisasjonsnummer:],$C69)</f>
        <v>0</v>
      </c>
      <c r="F69" s="25">
        <f>'4. Selvkost og satser'!$B$54</f>
        <v>288170.9461329499</v>
      </c>
      <c r="G69" s="148">
        <f>SUMIFS(BasilRadata[Heltidsplasser
3-6],BasilRadata[År],'0. Oppsett'!$C$7-1,BasilRadata[1B. Organisasjonsnummer:],$C69)</f>
        <v>0</v>
      </c>
      <c r="H69" s="25">
        <f>'4. Selvkost og satser'!$B$55</f>
        <v>156604.23359926464</v>
      </c>
      <c r="I69" s="172">
        <f t="shared" ref="I69:I132" si="5">IFERROR(IF(B69="",0,E69*F69+G69*H69),0)</f>
        <v>0</v>
      </c>
      <c r="J69" s="176">
        <f>SUMIFS(BasilRadata[8E. Oppgi antall årsverk barnehagen har pensjonsforpliktelser for:],BasilRadata[År],'0. Oppsett'!$C$7-1,BasilRadata[1B. Organisasjonsnummer:],'X. Utbetalingsmodul'!$C69)</f>
        <v>0</v>
      </c>
      <c r="K69" s="172" t="e">
        <f>_xlfn.XLOOKUP(C69,'X. Satser pensjonstilskudd'!$C$5:$C$224,'X. Satser pensjonstilskudd'!$I$5:$I$224)</f>
        <v>#DIV/0!</v>
      </c>
      <c r="L69" s="173" t="e">
        <f t="shared" ref="L69:L132" si="6">K69*J69</f>
        <v>#DIV/0!</v>
      </c>
      <c r="M69" s="147">
        <f t="shared" si="3"/>
        <v>0</v>
      </c>
      <c r="N69" s="32">
        <f>IFERROR(M69*'0. Oppsett'!$C$30,0)</f>
        <v>0</v>
      </c>
      <c r="O69" s="33">
        <v>0</v>
      </c>
      <c r="P69" s="33"/>
      <c r="Q69" s="33"/>
      <c r="R69" s="33"/>
      <c r="S69" s="33">
        <v>0</v>
      </c>
      <c r="T69" s="34">
        <v>0</v>
      </c>
      <c r="U69" s="35">
        <f t="shared" si="4"/>
        <v>0</v>
      </c>
    </row>
    <row r="70" spans="1:21" ht="15.75" thickBot="1" x14ac:dyDescent="0.3">
      <c r="A70" s="21">
        <v>66</v>
      </c>
      <c r="B70" s="150">
        <f>'X. Satser pensjonstilskudd'!B70</f>
        <v>0</v>
      </c>
      <c r="C70" s="18">
        <f>'X. Satser pensjonstilskudd'!C70</f>
        <v>0</v>
      </c>
      <c r="D70" s="18" t="str">
        <f>IFERROR(_xlfn.XLOOKUP($C70,factPensjon[Virksomhetsnr.],factPensjon[Forpliktelser]),"")</f>
        <v/>
      </c>
      <c r="E70" s="148">
        <f>SUMIFS(BasilRadata[Heltidsplasser
0-2],BasilRadata[År],'0. Oppsett'!$C$7-1,BasilRadata[1B. Organisasjonsnummer:],$C70)</f>
        <v>0</v>
      </c>
      <c r="F70" s="25">
        <f>'4. Selvkost og satser'!$B$54</f>
        <v>288170.9461329499</v>
      </c>
      <c r="G70" s="148">
        <f>SUMIFS(BasilRadata[Heltidsplasser
3-6],BasilRadata[År],'0. Oppsett'!$C$7-1,BasilRadata[1B. Organisasjonsnummer:],$C70)</f>
        <v>0</v>
      </c>
      <c r="H70" s="25">
        <f>'4. Selvkost og satser'!$B$55</f>
        <v>156604.23359926464</v>
      </c>
      <c r="I70" s="172">
        <f t="shared" si="5"/>
        <v>0</v>
      </c>
      <c r="J70" s="176">
        <f>SUMIFS(BasilRadata[8E. Oppgi antall årsverk barnehagen har pensjonsforpliktelser for:],BasilRadata[År],'0. Oppsett'!$C$7-1,BasilRadata[1B. Organisasjonsnummer:],'X. Utbetalingsmodul'!$C70)</f>
        <v>0</v>
      </c>
      <c r="K70" s="172" t="e">
        <f>_xlfn.XLOOKUP(C70,'X. Satser pensjonstilskudd'!$C$5:$C$224,'X. Satser pensjonstilskudd'!$I$5:$I$224)</f>
        <v>#DIV/0!</v>
      </c>
      <c r="L70" s="173" t="e">
        <f t="shared" si="6"/>
        <v>#DIV/0!</v>
      </c>
      <c r="M70" s="147">
        <f t="shared" ref="M70:M133" si="7">E70+G70</f>
        <v>0</v>
      </c>
      <c r="N70" s="32">
        <f>IFERROR(M70*'0. Oppsett'!$C$30,0)</f>
        <v>0</v>
      </c>
      <c r="O70" s="33">
        <v>0</v>
      </c>
      <c r="P70" s="33"/>
      <c r="Q70" s="33"/>
      <c r="R70" s="33"/>
      <c r="S70" s="33">
        <v>0</v>
      </c>
      <c r="T70" s="34">
        <v>0</v>
      </c>
      <c r="U70" s="35">
        <f t="shared" si="4"/>
        <v>0</v>
      </c>
    </row>
    <row r="71" spans="1:21" ht="15.75" thickBot="1" x14ac:dyDescent="0.3">
      <c r="A71" s="17">
        <v>67</v>
      </c>
      <c r="B71" s="150">
        <f>'X. Satser pensjonstilskudd'!B71</f>
        <v>0</v>
      </c>
      <c r="C71" s="18">
        <f>'X. Satser pensjonstilskudd'!C71</f>
        <v>0</v>
      </c>
      <c r="D71" s="18" t="str">
        <f>IFERROR(_xlfn.XLOOKUP($C71,factPensjon[Virksomhetsnr.],factPensjon[Forpliktelser]),"")</f>
        <v/>
      </c>
      <c r="E71" s="148">
        <f>SUMIFS(BasilRadata[Heltidsplasser
0-2],BasilRadata[År],'0. Oppsett'!$C$7-1,BasilRadata[1B. Organisasjonsnummer:],$C71)</f>
        <v>0</v>
      </c>
      <c r="F71" s="25">
        <f>'4. Selvkost og satser'!$B$54</f>
        <v>288170.9461329499</v>
      </c>
      <c r="G71" s="148">
        <f>SUMIFS(BasilRadata[Heltidsplasser
3-6],BasilRadata[År],'0. Oppsett'!$C$7-1,BasilRadata[1B. Organisasjonsnummer:],$C71)</f>
        <v>0</v>
      </c>
      <c r="H71" s="25">
        <f>'4. Selvkost og satser'!$B$55</f>
        <v>156604.23359926464</v>
      </c>
      <c r="I71" s="172">
        <f t="shared" si="5"/>
        <v>0</v>
      </c>
      <c r="J71" s="176">
        <f>SUMIFS(BasilRadata[8E. Oppgi antall årsverk barnehagen har pensjonsforpliktelser for:],BasilRadata[År],'0. Oppsett'!$C$7-1,BasilRadata[1B. Organisasjonsnummer:],'X. Utbetalingsmodul'!$C71)</f>
        <v>0</v>
      </c>
      <c r="K71" s="172" t="e">
        <f>_xlfn.XLOOKUP(C71,'X. Satser pensjonstilskudd'!$C$5:$C$224,'X. Satser pensjonstilskudd'!$I$5:$I$224)</f>
        <v>#DIV/0!</v>
      </c>
      <c r="L71" s="173" t="e">
        <f t="shared" si="6"/>
        <v>#DIV/0!</v>
      </c>
      <c r="M71" s="147">
        <f t="shared" si="7"/>
        <v>0</v>
      </c>
      <c r="N71" s="32">
        <f>IFERROR(M71*'0. Oppsett'!$C$30,0)</f>
        <v>0</v>
      </c>
      <c r="O71" s="33">
        <v>0</v>
      </c>
      <c r="P71" s="33"/>
      <c r="Q71" s="33"/>
      <c r="R71" s="33"/>
      <c r="S71" s="33">
        <v>0</v>
      </c>
      <c r="T71" s="34">
        <v>0</v>
      </c>
      <c r="U71" s="35">
        <f t="shared" si="4"/>
        <v>0</v>
      </c>
    </row>
    <row r="72" spans="1:21" ht="15.75" thickBot="1" x14ac:dyDescent="0.3">
      <c r="A72" s="21">
        <v>68</v>
      </c>
      <c r="B72" s="150">
        <f>'X. Satser pensjonstilskudd'!B72</f>
        <v>0</v>
      </c>
      <c r="C72" s="18">
        <f>'X. Satser pensjonstilskudd'!C72</f>
        <v>0</v>
      </c>
      <c r="D72" s="18" t="str">
        <f>IFERROR(_xlfn.XLOOKUP($C72,factPensjon[Virksomhetsnr.],factPensjon[Forpliktelser]),"")</f>
        <v/>
      </c>
      <c r="E72" s="148">
        <f>SUMIFS(BasilRadata[Heltidsplasser
0-2],BasilRadata[År],'0. Oppsett'!$C$7-1,BasilRadata[1B. Organisasjonsnummer:],$C72)</f>
        <v>0</v>
      </c>
      <c r="F72" s="25">
        <f>'4. Selvkost og satser'!$B$54</f>
        <v>288170.9461329499</v>
      </c>
      <c r="G72" s="148">
        <f>SUMIFS(BasilRadata[Heltidsplasser
3-6],BasilRadata[År],'0. Oppsett'!$C$7-1,BasilRadata[1B. Organisasjonsnummer:],$C72)</f>
        <v>0</v>
      </c>
      <c r="H72" s="25">
        <f>'4. Selvkost og satser'!$B$55</f>
        <v>156604.23359926464</v>
      </c>
      <c r="I72" s="172">
        <f t="shared" si="5"/>
        <v>0</v>
      </c>
      <c r="J72" s="176">
        <f>SUMIFS(BasilRadata[8E. Oppgi antall årsverk barnehagen har pensjonsforpliktelser for:],BasilRadata[År],'0. Oppsett'!$C$7-1,BasilRadata[1B. Organisasjonsnummer:],'X. Utbetalingsmodul'!$C72)</f>
        <v>0</v>
      </c>
      <c r="K72" s="172" t="e">
        <f>_xlfn.XLOOKUP(C72,'X. Satser pensjonstilskudd'!$C$5:$C$224,'X. Satser pensjonstilskudd'!$I$5:$I$224)</f>
        <v>#DIV/0!</v>
      </c>
      <c r="L72" s="173" t="e">
        <f t="shared" si="6"/>
        <v>#DIV/0!</v>
      </c>
      <c r="M72" s="147">
        <f t="shared" si="7"/>
        <v>0</v>
      </c>
      <c r="N72" s="32">
        <f>IFERROR(M72*'0. Oppsett'!$C$30,0)</f>
        <v>0</v>
      </c>
      <c r="O72" s="33">
        <v>0</v>
      </c>
      <c r="P72" s="33"/>
      <c r="Q72" s="33"/>
      <c r="R72" s="33"/>
      <c r="S72" s="33">
        <v>0</v>
      </c>
      <c r="T72" s="34">
        <v>0</v>
      </c>
      <c r="U72" s="35">
        <f t="shared" si="4"/>
        <v>0</v>
      </c>
    </row>
    <row r="73" spans="1:21" ht="15.75" thickBot="1" x14ac:dyDescent="0.3">
      <c r="A73" s="17">
        <v>69</v>
      </c>
      <c r="B73" s="150">
        <f>'X. Satser pensjonstilskudd'!B73</f>
        <v>0</v>
      </c>
      <c r="C73" s="18">
        <f>'X. Satser pensjonstilskudd'!C73</f>
        <v>0</v>
      </c>
      <c r="D73" s="18" t="str">
        <f>IFERROR(_xlfn.XLOOKUP($C73,factPensjon[Virksomhetsnr.],factPensjon[Forpliktelser]),"")</f>
        <v/>
      </c>
      <c r="E73" s="148">
        <f>SUMIFS(BasilRadata[Heltidsplasser
0-2],BasilRadata[År],'0. Oppsett'!$C$7-1,BasilRadata[1B. Organisasjonsnummer:],$C73)</f>
        <v>0</v>
      </c>
      <c r="F73" s="25">
        <f>'4. Selvkost og satser'!$B$54</f>
        <v>288170.9461329499</v>
      </c>
      <c r="G73" s="148">
        <f>SUMIFS(BasilRadata[Heltidsplasser
3-6],BasilRadata[År],'0. Oppsett'!$C$7-1,BasilRadata[1B. Organisasjonsnummer:],$C73)</f>
        <v>0</v>
      </c>
      <c r="H73" s="25">
        <f>'4. Selvkost og satser'!$B$55</f>
        <v>156604.23359926464</v>
      </c>
      <c r="I73" s="172">
        <f t="shared" si="5"/>
        <v>0</v>
      </c>
      <c r="J73" s="176">
        <f>SUMIFS(BasilRadata[8E. Oppgi antall årsverk barnehagen har pensjonsforpliktelser for:],BasilRadata[År],'0. Oppsett'!$C$7-1,BasilRadata[1B. Organisasjonsnummer:],'X. Utbetalingsmodul'!$C73)</f>
        <v>0</v>
      </c>
      <c r="K73" s="172" t="e">
        <f>_xlfn.XLOOKUP(C73,'X. Satser pensjonstilskudd'!$C$5:$C$224,'X. Satser pensjonstilskudd'!$I$5:$I$224)</f>
        <v>#DIV/0!</v>
      </c>
      <c r="L73" s="173" t="e">
        <f t="shared" si="6"/>
        <v>#DIV/0!</v>
      </c>
      <c r="M73" s="147">
        <f t="shared" si="7"/>
        <v>0</v>
      </c>
      <c r="N73" s="32">
        <f>IFERROR(M73*'0. Oppsett'!$C$30,0)</f>
        <v>0</v>
      </c>
      <c r="O73" s="33">
        <v>0</v>
      </c>
      <c r="P73" s="33"/>
      <c r="Q73" s="33"/>
      <c r="R73" s="33"/>
      <c r="S73" s="33">
        <v>0</v>
      </c>
      <c r="T73" s="34">
        <v>0</v>
      </c>
      <c r="U73" s="35">
        <f t="shared" si="4"/>
        <v>0</v>
      </c>
    </row>
    <row r="74" spans="1:21" ht="15.75" thickBot="1" x14ac:dyDescent="0.3">
      <c r="A74" s="21">
        <v>70</v>
      </c>
      <c r="B74" s="150">
        <f>'X. Satser pensjonstilskudd'!B74</f>
        <v>0</v>
      </c>
      <c r="C74" s="18">
        <f>'X. Satser pensjonstilskudd'!C74</f>
        <v>0</v>
      </c>
      <c r="D74" s="18" t="str">
        <f>IFERROR(_xlfn.XLOOKUP($C74,factPensjon[Virksomhetsnr.],factPensjon[Forpliktelser]),"")</f>
        <v/>
      </c>
      <c r="E74" s="148">
        <f>SUMIFS(BasilRadata[Heltidsplasser
0-2],BasilRadata[År],'0. Oppsett'!$C$7-1,BasilRadata[1B. Organisasjonsnummer:],$C74)</f>
        <v>0</v>
      </c>
      <c r="F74" s="25">
        <f>'4. Selvkost og satser'!$B$54</f>
        <v>288170.9461329499</v>
      </c>
      <c r="G74" s="148">
        <f>SUMIFS(BasilRadata[Heltidsplasser
3-6],BasilRadata[År],'0. Oppsett'!$C$7-1,BasilRadata[1B. Organisasjonsnummer:],$C74)</f>
        <v>0</v>
      </c>
      <c r="H74" s="25">
        <f>'4. Selvkost og satser'!$B$55</f>
        <v>156604.23359926464</v>
      </c>
      <c r="I74" s="172">
        <f t="shared" si="5"/>
        <v>0</v>
      </c>
      <c r="J74" s="176">
        <f>SUMIFS(BasilRadata[8E. Oppgi antall årsverk barnehagen har pensjonsforpliktelser for:],BasilRadata[År],'0. Oppsett'!$C$7-1,BasilRadata[1B. Organisasjonsnummer:],'X. Utbetalingsmodul'!$C74)</f>
        <v>0</v>
      </c>
      <c r="K74" s="172" t="e">
        <f>_xlfn.XLOOKUP(C74,'X. Satser pensjonstilskudd'!$C$5:$C$224,'X. Satser pensjonstilskudd'!$I$5:$I$224)</f>
        <v>#DIV/0!</v>
      </c>
      <c r="L74" s="173" t="e">
        <f t="shared" si="6"/>
        <v>#DIV/0!</v>
      </c>
      <c r="M74" s="147">
        <f t="shared" si="7"/>
        <v>0</v>
      </c>
      <c r="N74" s="32">
        <f>IFERROR(M74*'0. Oppsett'!$C$30,0)</f>
        <v>0</v>
      </c>
      <c r="O74" s="33">
        <v>0</v>
      </c>
      <c r="P74" s="33"/>
      <c r="Q74" s="33"/>
      <c r="R74" s="33"/>
      <c r="S74" s="33">
        <v>0</v>
      </c>
      <c r="T74" s="34">
        <v>0</v>
      </c>
      <c r="U74" s="35">
        <f t="shared" si="4"/>
        <v>0</v>
      </c>
    </row>
    <row r="75" spans="1:21" ht="15.75" thickBot="1" x14ac:dyDescent="0.3">
      <c r="A75" s="17">
        <v>71</v>
      </c>
      <c r="B75" s="150">
        <f>'X. Satser pensjonstilskudd'!B75</f>
        <v>0</v>
      </c>
      <c r="C75" s="18">
        <f>'X. Satser pensjonstilskudd'!C75</f>
        <v>0</v>
      </c>
      <c r="D75" s="18" t="str">
        <f>IFERROR(_xlfn.XLOOKUP($C75,factPensjon[Virksomhetsnr.],factPensjon[Forpliktelser]),"")</f>
        <v/>
      </c>
      <c r="E75" s="148">
        <f>SUMIFS(BasilRadata[Heltidsplasser
0-2],BasilRadata[År],'0. Oppsett'!$C$7-1,BasilRadata[1B. Organisasjonsnummer:],$C75)</f>
        <v>0</v>
      </c>
      <c r="F75" s="25">
        <f>'4. Selvkost og satser'!$B$54</f>
        <v>288170.9461329499</v>
      </c>
      <c r="G75" s="148">
        <f>SUMIFS(BasilRadata[Heltidsplasser
3-6],BasilRadata[År],'0. Oppsett'!$C$7-1,BasilRadata[1B. Organisasjonsnummer:],$C75)</f>
        <v>0</v>
      </c>
      <c r="H75" s="25">
        <f>'4. Selvkost og satser'!$B$55</f>
        <v>156604.23359926464</v>
      </c>
      <c r="I75" s="172">
        <f t="shared" si="5"/>
        <v>0</v>
      </c>
      <c r="J75" s="176">
        <f>SUMIFS(BasilRadata[8E. Oppgi antall årsverk barnehagen har pensjonsforpliktelser for:],BasilRadata[År],'0. Oppsett'!$C$7-1,BasilRadata[1B. Organisasjonsnummer:],'X. Utbetalingsmodul'!$C75)</f>
        <v>0</v>
      </c>
      <c r="K75" s="172" t="e">
        <f>_xlfn.XLOOKUP(C75,'X. Satser pensjonstilskudd'!$C$5:$C$224,'X. Satser pensjonstilskudd'!$I$5:$I$224)</f>
        <v>#DIV/0!</v>
      </c>
      <c r="L75" s="173" t="e">
        <f t="shared" si="6"/>
        <v>#DIV/0!</v>
      </c>
      <c r="M75" s="147">
        <f t="shared" si="7"/>
        <v>0</v>
      </c>
      <c r="N75" s="32">
        <f>IFERROR(M75*'0. Oppsett'!$C$30,0)</f>
        <v>0</v>
      </c>
      <c r="O75" s="33">
        <v>0</v>
      </c>
      <c r="P75" s="33"/>
      <c r="Q75" s="33"/>
      <c r="R75" s="33"/>
      <c r="S75" s="33">
        <v>0</v>
      </c>
      <c r="T75" s="34">
        <v>0</v>
      </c>
      <c r="U75" s="35">
        <f t="shared" ref="U75:U138" si="8">IFERROR(IF(B75="",0,I75+K75+N75+O75+S75+T75),0)</f>
        <v>0</v>
      </c>
    </row>
    <row r="76" spans="1:21" ht="15.75" thickBot="1" x14ac:dyDescent="0.3">
      <c r="A76" s="21">
        <v>72</v>
      </c>
      <c r="B76" s="150">
        <f>'X. Satser pensjonstilskudd'!B76</f>
        <v>0</v>
      </c>
      <c r="C76" s="18">
        <f>'X. Satser pensjonstilskudd'!C76</f>
        <v>0</v>
      </c>
      <c r="D76" s="18" t="str">
        <f>IFERROR(_xlfn.XLOOKUP($C76,factPensjon[Virksomhetsnr.],factPensjon[Forpliktelser]),"")</f>
        <v/>
      </c>
      <c r="E76" s="148">
        <f>SUMIFS(BasilRadata[Heltidsplasser
0-2],BasilRadata[År],'0. Oppsett'!$C$7-1,BasilRadata[1B. Organisasjonsnummer:],$C76)</f>
        <v>0</v>
      </c>
      <c r="F76" s="25">
        <f>'4. Selvkost og satser'!$B$54</f>
        <v>288170.9461329499</v>
      </c>
      <c r="G76" s="148">
        <f>SUMIFS(BasilRadata[Heltidsplasser
3-6],BasilRadata[År],'0. Oppsett'!$C$7-1,BasilRadata[1B. Organisasjonsnummer:],$C76)</f>
        <v>0</v>
      </c>
      <c r="H76" s="25">
        <f>'4. Selvkost og satser'!$B$55</f>
        <v>156604.23359926464</v>
      </c>
      <c r="I76" s="172">
        <f t="shared" si="5"/>
        <v>0</v>
      </c>
      <c r="J76" s="176">
        <f>SUMIFS(BasilRadata[8E. Oppgi antall årsverk barnehagen har pensjonsforpliktelser for:],BasilRadata[År],'0. Oppsett'!$C$7-1,BasilRadata[1B. Organisasjonsnummer:],'X. Utbetalingsmodul'!$C76)</f>
        <v>0</v>
      </c>
      <c r="K76" s="172" t="e">
        <f>_xlfn.XLOOKUP(C76,'X. Satser pensjonstilskudd'!$C$5:$C$224,'X. Satser pensjonstilskudd'!$I$5:$I$224)</f>
        <v>#DIV/0!</v>
      </c>
      <c r="L76" s="173" t="e">
        <f t="shared" si="6"/>
        <v>#DIV/0!</v>
      </c>
      <c r="M76" s="147">
        <f t="shared" si="7"/>
        <v>0</v>
      </c>
      <c r="N76" s="32">
        <f>IFERROR(M76*'0. Oppsett'!$C$30,0)</f>
        <v>0</v>
      </c>
      <c r="O76" s="33">
        <v>0</v>
      </c>
      <c r="P76" s="33"/>
      <c r="Q76" s="33"/>
      <c r="R76" s="33"/>
      <c r="S76" s="33">
        <v>0</v>
      </c>
      <c r="T76" s="34">
        <v>0</v>
      </c>
      <c r="U76" s="35">
        <f t="shared" si="8"/>
        <v>0</v>
      </c>
    </row>
    <row r="77" spans="1:21" ht="15.75" thickBot="1" x14ac:dyDescent="0.3">
      <c r="A77" s="17">
        <v>73</v>
      </c>
      <c r="B77" s="150">
        <f>'X. Satser pensjonstilskudd'!B77</f>
        <v>0</v>
      </c>
      <c r="C77" s="18">
        <f>'X. Satser pensjonstilskudd'!C77</f>
        <v>0</v>
      </c>
      <c r="D77" s="18" t="str">
        <f>IFERROR(_xlfn.XLOOKUP($C77,factPensjon[Virksomhetsnr.],factPensjon[Forpliktelser]),"")</f>
        <v/>
      </c>
      <c r="E77" s="148">
        <f>SUMIFS(BasilRadata[Heltidsplasser
0-2],BasilRadata[År],'0. Oppsett'!$C$7-1,BasilRadata[1B. Organisasjonsnummer:],$C77)</f>
        <v>0</v>
      </c>
      <c r="F77" s="25">
        <f>'4. Selvkost og satser'!$B$54</f>
        <v>288170.9461329499</v>
      </c>
      <c r="G77" s="148">
        <f>SUMIFS(BasilRadata[Heltidsplasser
3-6],BasilRadata[År],'0. Oppsett'!$C$7-1,BasilRadata[1B. Organisasjonsnummer:],$C77)</f>
        <v>0</v>
      </c>
      <c r="H77" s="25">
        <f>'4. Selvkost og satser'!$B$55</f>
        <v>156604.23359926464</v>
      </c>
      <c r="I77" s="172">
        <f t="shared" si="5"/>
        <v>0</v>
      </c>
      <c r="J77" s="176">
        <f>SUMIFS(BasilRadata[8E. Oppgi antall årsverk barnehagen har pensjonsforpliktelser for:],BasilRadata[År],'0. Oppsett'!$C$7-1,BasilRadata[1B. Organisasjonsnummer:],'X. Utbetalingsmodul'!$C77)</f>
        <v>0</v>
      </c>
      <c r="K77" s="172" t="e">
        <f>_xlfn.XLOOKUP(C77,'X. Satser pensjonstilskudd'!$C$5:$C$224,'X. Satser pensjonstilskudd'!$I$5:$I$224)</f>
        <v>#DIV/0!</v>
      </c>
      <c r="L77" s="173" t="e">
        <f t="shared" si="6"/>
        <v>#DIV/0!</v>
      </c>
      <c r="M77" s="147">
        <f t="shared" si="7"/>
        <v>0</v>
      </c>
      <c r="N77" s="32">
        <f>IFERROR(M77*'0. Oppsett'!$C$30,0)</f>
        <v>0</v>
      </c>
      <c r="O77" s="33">
        <v>0</v>
      </c>
      <c r="P77" s="33"/>
      <c r="Q77" s="33"/>
      <c r="R77" s="33"/>
      <c r="S77" s="33">
        <v>0</v>
      </c>
      <c r="T77" s="34">
        <v>0</v>
      </c>
      <c r="U77" s="35">
        <f t="shared" si="8"/>
        <v>0</v>
      </c>
    </row>
    <row r="78" spans="1:21" ht="15.75" thickBot="1" x14ac:dyDescent="0.3">
      <c r="A78" s="21">
        <v>74</v>
      </c>
      <c r="B78" s="150">
        <f>'X. Satser pensjonstilskudd'!B78</f>
        <v>0</v>
      </c>
      <c r="C78" s="18">
        <f>'X. Satser pensjonstilskudd'!C78</f>
        <v>0</v>
      </c>
      <c r="D78" s="18" t="str">
        <f>IFERROR(_xlfn.XLOOKUP($C78,factPensjon[Virksomhetsnr.],factPensjon[Forpliktelser]),"")</f>
        <v/>
      </c>
      <c r="E78" s="148">
        <f>SUMIFS(BasilRadata[Heltidsplasser
0-2],BasilRadata[År],'0. Oppsett'!$C$7-1,BasilRadata[1B. Organisasjonsnummer:],$C78)</f>
        <v>0</v>
      </c>
      <c r="F78" s="25">
        <f>'4. Selvkost og satser'!$B$54</f>
        <v>288170.9461329499</v>
      </c>
      <c r="G78" s="148">
        <f>SUMIFS(BasilRadata[Heltidsplasser
3-6],BasilRadata[År],'0. Oppsett'!$C$7-1,BasilRadata[1B. Organisasjonsnummer:],$C78)</f>
        <v>0</v>
      </c>
      <c r="H78" s="25">
        <f>'4. Selvkost og satser'!$B$55</f>
        <v>156604.23359926464</v>
      </c>
      <c r="I78" s="172">
        <f t="shared" si="5"/>
        <v>0</v>
      </c>
      <c r="J78" s="176">
        <f>SUMIFS(BasilRadata[8E. Oppgi antall årsverk barnehagen har pensjonsforpliktelser for:],BasilRadata[År],'0. Oppsett'!$C$7-1,BasilRadata[1B. Organisasjonsnummer:],'X. Utbetalingsmodul'!$C78)</f>
        <v>0</v>
      </c>
      <c r="K78" s="172" t="e">
        <f>_xlfn.XLOOKUP(C78,'X. Satser pensjonstilskudd'!$C$5:$C$224,'X. Satser pensjonstilskudd'!$I$5:$I$224)</f>
        <v>#DIV/0!</v>
      </c>
      <c r="L78" s="173" t="e">
        <f t="shared" si="6"/>
        <v>#DIV/0!</v>
      </c>
      <c r="M78" s="147">
        <f t="shared" si="7"/>
        <v>0</v>
      </c>
      <c r="N78" s="32">
        <f>IFERROR(M78*'0. Oppsett'!$C$30,0)</f>
        <v>0</v>
      </c>
      <c r="O78" s="33">
        <v>0</v>
      </c>
      <c r="P78" s="33"/>
      <c r="Q78" s="33"/>
      <c r="R78" s="33"/>
      <c r="S78" s="33">
        <v>0</v>
      </c>
      <c r="T78" s="34">
        <v>0</v>
      </c>
      <c r="U78" s="35">
        <f t="shared" si="8"/>
        <v>0</v>
      </c>
    </row>
    <row r="79" spans="1:21" ht="15.75" thickBot="1" x14ac:dyDescent="0.3">
      <c r="A79" s="17">
        <v>75</v>
      </c>
      <c r="B79" s="150">
        <f>'X. Satser pensjonstilskudd'!B79</f>
        <v>0</v>
      </c>
      <c r="C79" s="18">
        <f>'X. Satser pensjonstilskudd'!C79</f>
        <v>0</v>
      </c>
      <c r="D79" s="18" t="str">
        <f>IFERROR(_xlfn.XLOOKUP($C79,factPensjon[Virksomhetsnr.],factPensjon[Forpliktelser]),"")</f>
        <v/>
      </c>
      <c r="E79" s="148">
        <f>SUMIFS(BasilRadata[Heltidsplasser
0-2],BasilRadata[År],'0. Oppsett'!$C$7-1,BasilRadata[1B. Organisasjonsnummer:],$C79)</f>
        <v>0</v>
      </c>
      <c r="F79" s="25">
        <f>'4. Selvkost og satser'!$B$54</f>
        <v>288170.9461329499</v>
      </c>
      <c r="G79" s="148">
        <f>SUMIFS(BasilRadata[Heltidsplasser
3-6],BasilRadata[År],'0. Oppsett'!$C$7-1,BasilRadata[1B. Organisasjonsnummer:],$C79)</f>
        <v>0</v>
      </c>
      <c r="H79" s="25">
        <f>'4. Selvkost og satser'!$B$55</f>
        <v>156604.23359926464</v>
      </c>
      <c r="I79" s="172">
        <f t="shared" si="5"/>
        <v>0</v>
      </c>
      <c r="J79" s="176">
        <f>SUMIFS(BasilRadata[8E. Oppgi antall årsverk barnehagen har pensjonsforpliktelser for:],BasilRadata[År],'0. Oppsett'!$C$7-1,BasilRadata[1B. Organisasjonsnummer:],'X. Utbetalingsmodul'!$C79)</f>
        <v>0</v>
      </c>
      <c r="K79" s="172" t="e">
        <f>_xlfn.XLOOKUP(C79,'X. Satser pensjonstilskudd'!$C$5:$C$224,'X. Satser pensjonstilskudd'!$I$5:$I$224)</f>
        <v>#DIV/0!</v>
      </c>
      <c r="L79" s="173" t="e">
        <f t="shared" si="6"/>
        <v>#DIV/0!</v>
      </c>
      <c r="M79" s="147">
        <f t="shared" si="7"/>
        <v>0</v>
      </c>
      <c r="N79" s="32">
        <f>IFERROR(M79*'0. Oppsett'!$C$30,0)</f>
        <v>0</v>
      </c>
      <c r="O79" s="33">
        <v>0</v>
      </c>
      <c r="P79" s="33"/>
      <c r="Q79" s="33"/>
      <c r="R79" s="33"/>
      <c r="S79" s="33">
        <v>0</v>
      </c>
      <c r="T79" s="34">
        <v>0</v>
      </c>
      <c r="U79" s="35">
        <f t="shared" si="8"/>
        <v>0</v>
      </c>
    </row>
    <row r="80" spans="1:21" ht="15.75" thickBot="1" x14ac:dyDescent="0.3">
      <c r="A80" s="21">
        <v>76</v>
      </c>
      <c r="B80" s="150">
        <f>'X. Satser pensjonstilskudd'!B80</f>
        <v>0</v>
      </c>
      <c r="C80" s="18">
        <f>'X. Satser pensjonstilskudd'!C80</f>
        <v>0</v>
      </c>
      <c r="D80" s="18" t="str">
        <f>IFERROR(_xlfn.XLOOKUP($C80,factPensjon[Virksomhetsnr.],factPensjon[Forpliktelser]),"")</f>
        <v/>
      </c>
      <c r="E80" s="148">
        <f>SUMIFS(BasilRadata[Heltidsplasser
0-2],BasilRadata[År],'0. Oppsett'!$C$7-1,BasilRadata[1B. Organisasjonsnummer:],$C80)</f>
        <v>0</v>
      </c>
      <c r="F80" s="25">
        <f>'4. Selvkost og satser'!$B$54</f>
        <v>288170.9461329499</v>
      </c>
      <c r="G80" s="148">
        <f>SUMIFS(BasilRadata[Heltidsplasser
3-6],BasilRadata[År],'0. Oppsett'!$C$7-1,BasilRadata[1B. Organisasjonsnummer:],$C80)</f>
        <v>0</v>
      </c>
      <c r="H80" s="25">
        <f>'4. Selvkost og satser'!$B$55</f>
        <v>156604.23359926464</v>
      </c>
      <c r="I80" s="172">
        <f t="shared" si="5"/>
        <v>0</v>
      </c>
      <c r="J80" s="176">
        <f>SUMIFS(BasilRadata[8E. Oppgi antall årsverk barnehagen har pensjonsforpliktelser for:],BasilRadata[År],'0. Oppsett'!$C$7-1,BasilRadata[1B. Organisasjonsnummer:],'X. Utbetalingsmodul'!$C80)</f>
        <v>0</v>
      </c>
      <c r="K80" s="172" t="e">
        <f>_xlfn.XLOOKUP(C80,'X. Satser pensjonstilskudd'!$C$5:$C$224,'X. Satser pensjonstilskudd'!$I$5:$I$224)</f>
        <v>#DIV/0!</v>
      </c>
      <c r="L80" s="173" t="e">
        <f t="shared" si="6"/>
        <v>#DIV/0!</v>
      </c>
      <c r="M80" s="147">
        <f t="shared" si="7"/>
        <v>0</v>
      </c>
      <c r="N80" s="32">
        <f>IFERROR(M80*'0. Oppsett'!$C$30,0)</f>
        <v>0</v>
      </c>
      <c r="O80" s="33">
        <v>0</v>
      </c>
      <c r="P80" s="33"/>
      <c r="Q80" s="33"/>
      <c r="R80" s="33"/>
      <c r="S80" s="33">
        <v>0</v>
      </c>
      <c r="T80" s="34">
        <v>0</v>
      </c>
      <c r="U80" s="35">
        <f t="shared" si="8"/>
        <v>0</v>
      </c>
    </row>
    <row r="81" spans="1:21" ht="15.75" thickBot="1" x14ac:dyDescent="0.3">
      <c r="A81" s="17">
        <v>77</v>
      </c>
      <c r="B81" s="150">
        <f>'X. Satser pensjonstilskudd'!B81</f>
        <v>0</v>
      </c>
      <c r="C81" s="18">
        <f>'X. Satser pensjonstilskudd'!C81</f>
        <v>0</v>
      </c>
      <c r="D81" s="18" t="str">
        <f>IFERROR(_xlfn.XLOOKUP($C81,factPensjon[Virksomhetsnr.],factPensjon[Forpliktelser]),"")</f>
        <v/>
      </c>
      <c r="E81" s="148">
        <f>SUMIFS(BasilRadata[Heltidsplasser
0-2],BasilRadata[År],'0. Oppsett'!$C$7-1,BasilRadata[1B. Organisasjonsnummer:],$C81)</f>
        <v>0</v>
      </c>
      <c r="F81" s="25">
        <f>'4. Selvkost og satser'!$B$54</f>
        <v>288170.9461329499</v>
      </c>
      <c r="G81" s="148">
        <f>SUMIFS(BasilRadata[Heltidsplasser
3-6],BasilRadata[År],'0. Oppsett'!$C$7-1,BasilRadata[1B. Organisasjonsnummer:],$C81)</f>
        <v>0</v>
      </c>
      <c r="H81" s="25">
        <f>'4. Selvkost og satser'!$B$55</f>
        <v>156604.23359926464</v>
      </c>
      <c r="I81" s="172">
        <f t="shared" si="5"/>
        <v>0</v>
      </c>
      <c r="J81" s="176">
        <f>SUMIFS(BasilRadata[8E. Oppgi antall årsverk barnehagen har pensjonsforpliktelser for:],BasilRadata[År],'0. Oppsett'!$C$7-1,BasilRadata[1B. Organisasjonsnummer:],'X. Utbetalingsmodul'!$C81)</f>
        <v>0</v>
      </c>
      <c r="K81" s="172" t="e">
        <f>_xlfn.XLOOKUP(C81,'X. Satser pensjonstilskudd'!$C$5:$C$224,'X. Satser pensjonstilskudd'!$I$5:$I$224)</f>
        <v>#DIV/0!</v>
      </c>
      <c r="L81" s="173" t="e">
        <f t="shared" si="6"/>
        <v>#DIV/0!</v>
      </c>
      <c r="M81" s="147">
        <f t="shared" si="7"/>
        <v>0</v>
      </c>
      <c r="N81" s="32">
        <f>IFERROR(M81*'0. Oppsett'!$C$30,0)</f>
        <v>0</v>
      </c>
      <c r="O81" s="33">
        <v>0</v>
      </c>
      <c r="P81" s="33"/>
      <c r="Q81" s="33"/>
      <c r="R81" s="33"/>
      <c r="S81" s="33">
        <v>0</v>
      </c>
      <c r="T81" s="34">
        <v>0</v>
      </c>
      <c r="U81" s="35">
        <f t="shared" si="8"/>
        <v>0</v>
      </c>
    </row>
    <row r="82" spans="1:21" ht="15.75" thickBot="1" x14ac:dyDescent="0.3">
      <c r="A82" s="21">
        <v>78</v>
      </c>
      <c r="B82" s="150">
        <f>'X. Satser pensjonstilskudd'!B82</f>
        <v>0</v>
      </c>
      <c r="C82" s="18">
        <f>'X. Satser pensjonstilskudd'!C82</f>
        <v>0</v>
      </c>
      <c r="D82" s="18" t="str">
        <f>IFERROR(_xlfn.XLOOKUP($C82,factPensjon[Virksomhetsnr.],factPensjon[Forpliktelser]),"")</f>
        <v/>
      </c>
      <c r="E82" s="148">
        <f>SUMIFS(BasilRadata[Heltidsplasser
0-2],BasilRadata[År],'0. Oppsett'!$C$7-1,BasilRadata[1B. Organisasjonsnummer:],$C82)</f>
        <v>0</v>
      </c>
      <c r="F82" s="25">
        <f>'4. Selvkost og satser'!$B$54</f>
        <v>288170.9461329499</v>
      </c>
      <c r="G82" s="148">
        <f>SUMIFS(BasilRadata[Heltidsplasser
3-6],BasilRadata[År],'0. Oppsett'!$C$7-1,BasilRadata[1B. Organisasjonsnummer:],$C82)</f>
        <v>0</v>
      </c>
      <c r="H82" s="25">
        <f>'4. Selvkost og satser'!$B$55</f>
        <v>156604.23359926464</v>
      </c>
      <c r="I82" s="172">
        <f t="shared" si="5"/>
        <v>0</v>
      </c>
      <c r="J82" s="176">
        <f>SUMIFS(BasilRadata[8E. Oppgi antall årsverk barnehagen har pensjonsforpliktelser for:],BasilRadata[År],'0. Oppsett'!$C$7-1,BasilRadata[1B. Organisasjonsnummer:],'X. Utbetalingsmodul'!$C82)</f>
        <v>0</v>
      </c>
      <c r="K82" s="172" t="e">
        <f>_xlfn.XLOOKUP(C82,'X. Satser pensjonstilskudd'!$C$5:$C$224,'X. Satser pensjonstilskudd'!$I$5:$I$224)</f>
        <v>#DIV/0!</v>
      </c>
      <c r="L82" s="173" t="e">
        <f t="shared" si="6"/>
        <v>#DIV/0!</v>
      </c>
      <c r="M82" s="147">
        <f t="shared" si="7"/>
        <v>0</v>
      </c>
      <c r="N82" s="32">
        <f>IFERROR(M82*'0. Oppsett'!$C$30,0)</f>
        <v>0</v>
      </c>
      <c r="O82" s="33">
        <v>0</v>
      </c>
      <c r="P82" s="33"/>
      <c r="Q82" s="33"/>
      <c r="R82" s="33"/>
      <c r="S82" s="33">
        <v>0</v>
      </c>
      <c r="T82" s="34">
        <v>0</v>
      </c>
      <c r="U82" s="35">
        <f t="shared" si="8"/>
        <v>0</v>
      </c>
    </row>
    <row r="83" spans="1:21" ht="15.75" thickBot="1" x14ac:dyDescent="0.3">
      <c r="A83" s="17">
        <v>79</v>
      </c>
      <c r="B83" s="150">
        <f>'X. Satser pensjonstilskudd'!B83</f>
        <v>0</v>
      </c>
      <c r="C83" s="18">
        <f>'X. Satser pensjonstilskudd'!C83</f>
        <v>0</v>
      </c>
      <c r="D83" s="18" t="str">
        <f>IFERROR(_xlfn.XLOOKUP($C83,factPensjon[Virksomhetsnr.],factPensjon[Forpliktelser]),"")</f>
        <v/>
      </c>
      <c r="E83" s="148">
        <f>SUMIFS(BasilRadata[Heltidsplasser
0-2],BasilRadata[År],'0. Oppsett'!$C$7-1,BasilRadata[1B. Organisasjonsnummer:],$C83)</f>
        <v>0</v>
      </c>
      <c r="F83" s="25">
        <f>'4. Selvkost og satser'!$B$54</f>
        <v>288170.9461329499</v>
      </c>
      <c r="G83" s="148">
        <f>SUMIFS(BasilRadata[Heltidsplasser
3-6],BasilRadata[År],'0. Oppsett'!$C$7-1,BasilRadata[1B. Organisasjonsnummer:],$C83)</f>
        <v>0</v>
      </c>
      <c r="H83" s="25">
        <f>'4. Selvkost og satser'!$B$55</f>
        <v>156604.23359926464</v>
      </c>
      <c r="I83" s="172">
        <f t="shared" si="5"/>
        <v>0</v>
      </c>
      <c r="J83" s="176">
        <f>SUMIFS(BasilRadata[8E. Oppgi antall årsverk barnehagen har pensjonsforpliktelser for:],BasilRadata[År],'0. Oppsett'!$C$7-1,BasilRadata[1B. Organisasjonsnummer:],'X. Utbetalingsmodul'!$C83)</f>
        <v>0</v>
      </c>
      <c r="K83" s="172" t="e">
        <f>_xlfn.XLOOKUP(C83,'X. Satser pensjonstilskudd'!$C$5:$C$224,'X. Satser pensjonstilskudd'!$I$5:$I$224)</f>
        <v>#DIV/0!</v>
      </c>
      <c r="L83" s="173" t="e">
        <f t="shared" si="6"/>
        <v>#DIV/0!</v>
      </c>
      <c r="M83" s="147">
        <f t="shared" si="7"/>
        <v>0</v>
      </c>
      <c r="N83" s="32">
        <f>IFERROR(M83*'0. Oppsett'!$C$30,0)</f>
        <v>0</v>
      </c>
      <c r="O83" s="33">
        <v>0</v>
      </c>
      <c r="P83" s="33"/>
      <c r="Q83" s="33"/>
      <c r="R83" s="33"/>
      <c r="S83" s="33">
        <v>0</v>
      </c>
      <c r="T83" s="34">
        <v>0</v>
      </c>
      <c r="U83" s="35">
        <f t="shared" si="8"/>
        <v>0</v>
      </c>
    </row>
    <row r="84" spans="1:21" ht="15.75" thickBot="1" x14ac:dyDescent="0.3">
      <c r="A84" s="21">
        <v>80</v>
      </c>
      <c r="B84" s="150">
        <f>'X. Satser pensjonstilskudd'!B84</f>
        <v>0</v>
      </c>
      <c r="C84" s="18">
        <f>'X. Satser pensjonstilskudd'!C84</f>
        <v>0</v>
      </c>
      <c r="D84" s="18" t="str">
        <f>IFERROR(_xlfn.XLOOKUP($C84,factPensjon[Virksomhetsnr.],factPensjon[Forpliktelser]),"")</f>
        <v/>
      </c>
      <c r="E84" s="148">
        <f>SUMIFS(BasilRadata[Heltidsplasser
0-2],BasilRadata[År],'0. Oppsett'!$C$7-1,BasilRadata[1B. Organisasjonsnummer:],$C84)</f>
        <v>0</v>
      </c>
      <c r="F84" s="25">
        <f>'4. Selvkost og satser'!$B$54</f>
        <v>288170.9461329499</v>
      </c>
      <c r="G84" s="148">
        <f>SUMIFS(BasilRadata[Heltidsplasser
3-6],BasilRadata[År],'0. Oppsett'!$C$7-1,BasilRadata[1B. Organisasjonsnummer:],$C84)</f>
        <v>0</v>
      </c>
      <c r="H84" s="25">
        <f>'4. Selvkost og satser'!$B$55</f>
        <v>156604.23359926464</v>
      </c>
      <c r="I84" s="172">
        <f t="shared" si="5"/>
        <v>0</v>
      </c>
      <c r="J84" s="176">
        <f>SUMIFS(BasilRadata[8E. Oppgi antall årsverk barnehagen har pensjonsforpliktelser for:],BasilRadata[År],'0. Oppsett'!$C$7-1,BasilRadata[1B. Organisasjonsnummer:],'X. Utbetalingsmodul'!$C84)</f>
        <v>0</v>
      </c>
      <c r="K84" s="172" t="e">
        <f>_xlfn.XLOOKUP(C84,'X. Satser pensjonstilskudd'!$C$5:$C$224,'X. Satser pensjonstilskudd'!$I$5:$I$224)</f>
        <v>#DIV/0!</v>
      </c>
      <c r="L84" s="173" t="e">
        <f t="shared" si="6"/>
        <v>#DIV/0!</v>
      </c>
      <c r="M84" s="147">
        <f t="shared" si="7"/>
        <v>0</v>
      </c>
      <c r="N84" s="32">
        <f>IFERROR(M84*'0. Oppsett'!$C$30,0)</f>
        <v>0</v>
      </c>
      <c r="O84" s="33">
        <v>0</v>
      </c>
      <c r="P84" s="33"/>
      <c r="Q84" s="33"/>
      <c r="R84" s="33"/>
      <c r="S84" s="33">
        <v>0</v>
      </c>
      <c r="T84" s="34">
        <v>0</v>
      </c>
      <c r="U84" s="35">
        <f t="shared" si="8"/>
        <v>0</v>
      </c>
    </row>
    <row r="85" spans="1:21" ht="15.75" thickBot="1" x14ac:dyDescent="0.3">
      <c r="A85" s="17">
        <v>81</v>
      </c>
      <c r="B85" s="150">
        <f>'X. Satser pensjonstilskudd'!B85</f>
        <v>0</v>
      </c>
      <c r="C85" s="18">
        <f>'X. Satser pensjonstilskudd'!C85</f>
        <v>0</v>
      </c>
      <c r="D85" s="18" t="str">
        <f>IFERROR(_xlfn.XLOOKUP($C85,factPensjon[Virksomhetsnr.],factPensjon[Forpliktelser]),"")</f>
        <v/>
      </c>
      <c r="E85" s="148">
        <f>SUMIFS(BasilRadata[Heltidsplasser
0-2],BasilRadata[År],'0. Oppsett'!$C$7-1,BasilRadata[1B. Organisasjonsnummer:],$C85)</f>
        <v>0</v>
      </c>
      <c r="F85" s="25">
        <f>'4. Selvkost og satser'!$B$54</f>
        <v>288170.9461329499</v>
      </c>
      <c r="G85" s="148">
        <f>SUMIFS(BasilRadata[Heltidsplasser
3-6],BasilRadata[År],'0. Oppsett'!$C$7-1,BasilRadata[1B. Organisasjonsnummer:],$C85)</f>
        <v>0</v>
      </c>
      <c r="H85" s="25">
        <f>'4. Selvkost og satser'!$B$55</f>
        <v>156604.23359926464</v>
      </c>
      <c r="I85" s="172">
        <f t="shared" si="5"/>
        <v>0</v>
      </c>
      <c r="J85" s="176">
        <f>SUMIFS(BasilRadata[8E. Oppgi antall årsverk barnehagen har pensjonsforpliktelser for:],BasilRadata[År],'0. Oppsett'!$C$7-1,BasilRadata[1B. Organisasjonsnummer:],'X. Utbetalingsmodul'!$C85)</f>
        <v>0</v>
      </c>
      <c r="K85" s="172" t="e">
        <f>_xlfn.XLOOKUP(C85,'X. Satser pensjonstilskudd'!$C$5:$C$224,'X. Satser pensjonstilskudd'!$I$5:$I$224)</f>
        <v>#DIV/0!</v>
      </c>
      <c r="L85" s="173" t="e">
        <f t="shared" si="6"/>
        <v>#DIV/0!</v>
      </c>
      <c r="M85" s="147">
        <f t="shared" si="7"/>
        <v>0</v>
      </c>
      <c r="N85" s="32">
        <f>IFERROR(M85*'0. Oppsett'!$C$30,0)</f>
        <v>0</v>
      </c>
      <c r="O85" s="33">
        <v>0</v>
      </c>
      <c r="P85" s="33"/>
      <c r="Q85" s="33"/>
      <c r="R85" s="33"/>
      <c r="S85" s="33">
        <v>0</v>
      </c>
      <c r="T85" s="34">
        <v>0</v>
      </c>
      <c r="U85" s="35">
        <f t="shared" si="8"/>
        <v>0</v>
      </c>
    </row>
    <row r="86" spans="1:21" ht="15.75" thickBot="1" x14ac:dyDescent="0.3">
      <c r="A86" s="21">
        <v>82</v>
      </c>
      <c r="B86" s="150">
        <f>'X. Satser pensjonstilskudd'!B86</f>
        <v>0</v>
      </c>
      <c r="C86" s="18">
        <f>'X. Satser pensjonstilskudd'!C86</f>
        <v>0</v>
      </c>
      <c r="D86" s="18" t="str">
        <f>IFERROR(_xlfn.XLOOKUP($C86,factPensjon[Virksomhetsnr.],factPensjon[Forpliktelser]),"")</f>
        <v/>
      </c>
      <c r="E86" s="148">
        <f>SUMIFS(BasilRadata[Heltidsplasser
0-2],BasilRadata[År],'0. Oppsett'!$C$7-1,BasilRadata[1B. Organisasjonsnummer:],$C86)</f>
        <v>0</v>
      </c>
      <c r="F86" s="25">
        <f>'4. Selvkost og satser'!$B$54</f>
        <v>288170.9461329499</v>
      </c>
      <c r="G86" s="148">
        <f>SUMIFS(BasilRadata[Heltidsplasser
3-6],BasilRadata[År],'0. Oppsett'!$C$7-1,BasilRadata[1B. Organisasjonsnummer:],$C86)</f>
        <v>0</v>
      </c>
      <c r="H86" s="25">
        <f>'4. Selvkost og satser'!$B$55</f>
        <v>156604.23359926464</v>
      </c>
      <c r="I86" s="172">
        <f t="shared" si="5"/>
        <v>0</v>
      </c>
      <c r="J86" s="176">
        <f>SUMIFS(BasilRadata[8E. Oppgi antall årsverk barnehagen har pensjonsforpliktelser for:],BasilRadata[År],'0. Oppsett'!$C$7-1,BasilRadata[1B. Organisasjonsnummer:],'X. Utbetalingsmodul'!$C86)</f>
        <v>0</v>
      </c>
      <c r="K86" s="172" t="e">
        <f>_xlfn.XLOOKUP(C86,'X. Satser pensjonstilskudd'!$C$5:$C$224,'X. Satser pensjonstilskudd'!$I$5:$I$224)</f>
        <v>#DIV/0!</v>
      </c>
      <c r="L86" s="173" t="e">
        <f t="shared" si="6"/>
        <v>#DIV/0!</v>
      </c>
      <c r="M86" s="147">
        <f t="shared" si="7"/>
        <v>0</v>
      </c>
      <c r="N86" s="32">
        <f>IFERROR(M86*'0. Oppsett'!$C$30,0)</f>
        <v>0</v>
      </c>
      <c r="O86" s="33">
        <v>0</v>
      </c>
      <c r="P86" s="33"/>
      <c r="Q86" s="33"/>
      <c r="R86" s="33"/>
      <c r="S86" s="33">
        <v>0</v>
      </c>
      <c r="T86" s="34">
        <v>0</v>
      </c>
      <c r="U86" s="35">
        <f t="shared" si="8"/>
        <v>0</v>
      </c>
    </row>
    <row r="87" spans="1:21" ht="15.75" thickBot="1" x14ac:dyDescent="0.3">
      <c r="A87" s="17">
        <v>83</v>
      </c>
      <c r="B87" s="150">
        <f>'X. Satser pensjonstilskudd'!B87</f>
        <v>0</v>
      </c>
      <c r="C87" s="18">
        <f>'X. Satser pensjonstilskudd'!C87</f>
        <v>0</v>
      </c>
      <c r="D87" s="18" t="str">
        <f>IFERROR(_xlfn.XLOOKUP($C87,factPensjon[Virksomhetsnr.],factPensjon[Forpliktelser]),"")</f>
        <v/>
      </c>
      <c r="E87" s="148">
        <f>SUMIFS(BasilRadata[Heltidsplasser
0-2],BasilRadata[År],'0. Oppsett'!$C$7-1,BasilRadata[1B. Organisasjonsnummer:],$C87)</f>
        <v>0</v>
      </c>
      <c r="F87" s="25">
        <f>'4. Selvkost og satser'!$B$54</f>
        <v>288170.9461329499</v>
      </c>
      <c r="G87" s="148">
        <f>SUMIFS(BasilRadata[Heltidsplasser
3-6],BasilRadata[År],'0. Oppsett'!$C$7-1,BasilRadata[1B. Organisasjonsnummer:],$C87)</f>
        <v>0</v>
      </c>
      <c r="H87" s="25">
        <f>'4. Selvkost og satser'!$B$55</f>
        <v>156604.23359926464</v>
      </c>
      <c r="I87" s="172">
        <f t="shared" si="5"/>
        <v>0</v>
      </c>
      <c r="J87" s="176">
        <f>SUMIFS(BasilRadata[8E. Oppgi antall årsverk barnehagen har pensjonsforpliktelser for:],BasilRadata[År],'0. Oppsett'!$C$7-1,BasilRadata[1B. Organisasjonsnummer:],'X. Utbetalingsmodul'!$C87)</f>
        <v>0</v>
      </c>
      <c r="K87" s="172" t="e">
        <f>_xlfn.XLOOKUP(C87,'X. Satser pensjonstilskudd'!$C$5:$C$224,'X. Satser pensjonstilskudd'!$I$5:$I$224)</f>
        <v>#DIV/0!</v>
      </c>
      <c r="L87" s="173" t="e">
        <f t="shared" si="6"/>
        <v>#DIV/0!</v>
      </c>
      <c r="M87" s="147">
        <f t="shared" si="7"/>
        <v>0</v>
      </c>
      <c r="N87" s="32">
        <f>IFERROR(M87*'0. Oppsett'!$C$30,0)</f>
        <v>0</v>
      </c>
      <c r="O87" s="33">
        <v>0</v>
      </c>
      <c r="P87" s="33"/>
      <c r="Q87" s="33"/>
      <c r="R87" s="33"/>
      <c r="S87" s="33">
        <v>0</v>
      </c>
      <c r="T87" s="34">
        <v>0</v>
      </c>
      <c r="U87" s="35">
        <f t="shared" si="8"/>
        <v>0</v>
      </c>
    </row>
    <row r="88" spans="1:21" ht="15.75" thickBot="1" x14ac:dyDescent="0.3">
      <c r="A88" s="21">
        <v>84</v>
      </c>
      <c r="B88" s="150">
        <f>'X. Satser pensjonstilskudd'!B88</f>
        <v>0</v>
      </c>
      <c r="C88" s="18">
        <f>'X. Satser pensjonstilskudd'!C88</f>
        <v>0</v>
      </c>
      <c r="D88" s="18" t="str">
        <f>IFERROR(_xlfn.XLOOKUP($C88,factPensjon[Virksomhetsnr.],factPensjon[Forpliktelser]),"")</f>
        <v/>
      </c>
      <c r="E88" s="148">
        <f>SUMIFS(BasilRadata[Heltidsplasser
0-2],BasilRadata[År],'0. Oppsett'!$C$7-1,BasilRadata[1B. Organisasjonsnummer:],$C88)</f>
        <v>0</v>
      </c>
      <c r="F88" s="25">
        <f>'4. Selvkost og satser'!$B$54</f>
        <v>288170.9461329499</v>
      </c>
      <c r="G88" s="148">
        <f>SUMIFS(BasilRadata[Heltidsplasser
3-6],BasilRadata[År],'0. Oppsett'!$C$7-1,BasilRadata[1B. Organisasjonsnummer:],$C88)</f>
        <v>0</v>
      </c>
      <c r="H88" s="25">
        <f>'4. Selvkost og satser'!$B$55</f>
        <v>156604.23359926464</v>
      </c>
      <c r="I88" s="172">
        <f t="shared" si="5"/>
        <v>0</v>
      </c>
      <c r="J88" s="176">
        <f>SUMIFS(BasilRadata[8E. Oppgi antall årsverk barnehagen har pensjonsforpliktelser for:],BasilRadata[År],'0. Oppsett'!$C$7-1,BasilRadata[1B. Organisasjonsnummer:],'X. Utbetalingsmodul'!$C88)</f>
        <v>0</v>
      </c>
      <c r="K88" s="172" t="e">
        <f>_xlfn.XLOOKUP(C88,'X. Satser pensjonstilskudd'!$C$5:$C$224,'X. Satser pensjonstilskudd'!$I$5:$I$224)</f>
        <v>#DIV/0!</v>
      </c>
      <c r="L88" s="173" t="e">
        <f t="shared" si="6"/>
        <v>#DIV/0!</v>
      </c>
      <c r="M88" s="147">
        <f t="shared" si="7"/>
        <v>0</v>
      </c>
      <c r="N88" s="32">
        <f>IFERROR(M88*'0. Oppsett'!$C$30,0)</f>
        <v>0</v>
      </c>
      <c r="O88" s="33">
        <v>0</v>
      </c>
      <c r="P88" s="33"/>
      <c r="Q88" s="33"/>
      <c r="R88" s="33"/>
      <c r="S88" s="33">
        <v>0</v>
      </c>
      <c r="T88" s="34">
        <v>0</v>
      </c>
      <c r="U88" s="35">
        <f t="shared" si="8"/>
        <v>0</v>
      </c>
    </row>
    <row r="89" spans="1:21" ht="15.75" thickBot="1" x14ac:dyDescent="0.3">
      <c r="A89" s="17">
        <v>85</v>
      </c>
      <c r="B89" s="150">
        <f>'X. Satser pensjonstilskudd'!B89</f>
        <v>0</v>
      </c>
      <c r="C89" s="18">
        <f>'X. Satser pensjonstilskudd'!C89</f>
        <v>0</v>
      </c>
      <c r="D89" s="18" t="str">
        <f>IFERROR(_xlfn.XLOOKUP($C89,factPensjon[Virksomhetsnr.],factPensjon[Forpliktelser]),"")</f>
        <v/>
      </c>
      <c r="E89" s="148">
        <f>SUMIFS(BasilRadata[Heltidsplasser
0-2],BasilRadata[År],'0. Oppsett'!$C$7-1,BasilRadata[1B. Organisasjonsnummer:],$C89)</f>
        <v>0</v>
      </c>
      <c r="F89" s="25">
        <f>'4. Selvkost og satser'!$B$54</f>
        <v>288170.9461329499</v>
      </c>
      <c r="G89" s="148">
        <f>SUMIFS(BasilRadata[Heltidsplasser
3-6],BasilRadata[År],'0. Oppsett'!$C$7-1,BasilRadata[1B. Organisasjonsnummer:],$C89)</f>
        <v>0</v>
      </c>
      <c r="H89" s="25">
        <f>'4. Selvkost og satser'!$B$55</f>
        <v>156604.23359926464</v>
      </c>
      <c r="I89" s="172">
        <f t="shared" si="5"/>
        <v>0</v>
      </c>
      <c r="J89" s="176">
        <f>SUMIFS(BasilRadata[8E. Oppgi antall årsverk barnehagen har pensjonsforpliktelser for:],BasilRadata[År],'0. Oppsett'!$C$7-1,BasilRadata[1B. Organisasjonsnummer:],'X. Utbetalingsmodul'!$C89)</f>
        <v>0</v>
      </c>
      <c r="K89" s="172" t="e">
        <f>_xlfn.XLOOKUP(C89,'X. Satser pensjonstilskudd'!$C$5:$C$224,'X. Satser pensjonstilskudd'!$I$5:$I$224)</f>
        <v>#DIV/0!</v>
      </c>
      <c r="L89" s="173" t="e">
        <f t="shared" si="6"/>
        <v>#DIV/0!</v>
      </c>
      <c r="M89" s="147">
        <f t="shared" si="7"/>
        <v>0</v>
      </c>
      <c r="N89" s="32">
        <f>IFERROR(M89*'0. Oppsett'!$C$30,0)</f>
        <v>0</v>
      </c>
      <c r="O89" s="33">
        <v>0</v>
      </c>
      <c r="P89" s="33"/>
      <c r="Q89" s="33"/>
      <c r="R89" s="33"/>
      <c r="S89" s="33">
        <v>0</v>
      </c>
      <c r="T89" s="34">
        <v>0</v>
      </c>
      <c r="U89" s="35">
        <f t="shared" si="8"/>
        <v>0</v>
      </c>
    </row>
    <row r="90" spans="1:21" ht="15.75" thickBot="1" x14ac:dyDescent="0.3">
      <c r="A90" s="21">
        <v>86</v>
      </c>
      <c r="B90" s="150">
        <f>'X. Satser pensjonstilskudd'!B90</f>
        <v>0</v>
      </c>
      <c r="C90" s="18">
        <f>'X. Satser pensjonstilskudd'!C90</f>
        <v>0</v>
      </c>
      <c r="D90" s="18" t="str">
        <f>IFERROR(_xlfn.XLOOKUP($C90,factPensjon[Virksomhetsnr.],factPensjon[Forpliktelser]),"")</f>
        <v/>
      </c>
      <c r="E90" s="148">
        <f>SUMIFS(BasilRadata[Heltidsplasser
0-2],BasilRadata[År],'0. Oppsett'!$C$7-1,BasilRadata[1B. Organisasjonsnummer:],$C90)</f>
        <v>0</v>
      </c>
      <c r="F90" s="25">
        <f>'4. Selvkost og satser'!$B$54</f>
        <v>288170.9461329499</v>
      </c>
      <c r="G90" s="148">
        <f>SUMIFS(BasilRadata[Heltidsplasser
3-6],BasilRadata[År],'0. Oppsett'!$C$7-1,BasilRadata[1B. Organisasjonsnummer:],$C90)</f>
        <v>0</v>
      </c>
      <c r="H90" s="25">
        <f>'4. Selvkost og satser'!$B$55</f>
        <v>156604.23359926464</v>
      </c>
      <c r="I90" s="172">
        <f t="shared" si="5"/>
        <v>0</v>
      </c>
      <c r="J90" s="176">
        <f>SUMIFS(BasilRadata[8E. Oppgi antall årsverk barnehagen har pensjonsforpliktelser for:],BasilRadata[År],'0. Oppsett'!$C$7-1,BasilRadata[1B. Organisasjonsnummer:],'X. Utbetalingsmodul'!$C90)</f>
        <v>0</v>
      </c>
      <c r="K90" s="172" t="e">
        <f>_xlfn.XLOOKUP(C90,'X. Satser pensjonstilskudd'!$C$5:$C$224,'X. Satser pensjonstilskudd'!$I$5:$I$224)</f>
        <v>#DIV/0!</v>
      </c>
      <c r="L90" s="173" t="e">
        <f t="shared" si="6"/>
        <v>#DIV/0!</v>
      </c>
      <c r="M90" s="147">
        <f t="shared" si="7"/>
        <v>0</v>
      </c>
      <c r="N90" s="32">
        <f>IFERROR(M90*'0. Oppsett'!$C$30,0)</f>
        <v>0</v>
      </c>
      <c r="O90" s="33">
        <v>0</v>
      </c>
      <c r="P90" s="33"/>
      <c r="Q90" s="33"/>
      <c r="R90" s="33"/>
      <c r="S90" s="33">
        <v>0</v>
      </c>
      <c r="T90" s="34">
        <v>0</v>
      </c>
      <c r="U90" s="35">
        <f t="shared" si="8"/>
        <v>0</v>
      </c>
    </row>
    <row r="91" spans="1:21" ht="15.75" thickBot="1" x14ac:dyDescent="0.3">
      <c r="A91" s="17">
        <v>87</v>
      </c>
      <c r="B91" s="150">
        <f>'X. Satser pensjonstilskudd'!B91</f>
        <v>0</v>
      </c>
      <c r="C91" s="18">
        <f>'X. Satser pensjonstilskudd'!C91</f>
        <v>0</v>
      </c>
      <c r="D91" s="18" t="str">
        <f>IFERROR(_xlfn.XLOOKUP($C91,factPensjon[Virksomhetsnr.],factPensjon[Forpliktelser]),"")</f>
        <v/>
      </c>
      <c r="E91" s="148">
        <f>SUMIFS(BasilRadata[Heltidsplasser
0-2],BasilRadata[År],'0. Oppsett'!$C$7-1,BasilRadata[1B. Organisasjonsnummer:],$C91)</f>
        <v>0</v>
      </c>
      <c r="F91" s="25">
        <f>'4. Selvkost og satser'!$B$54</f>
        <v>288170.9461329499</v>
      </c>
      <c r="G91" s="148">
        <f>SUMIFS(BasilRadata[Heltidsplasser
3-6],BasilRadata[År],'0. Oppsett'!$C$7-1,BasilRadata[1B. Organisasjonsnummer:],$C91)</f>
        <v>0</v>
      </c>
      <c r="H91" s="25">
        <f>'4. Selvkost og satser'!$B$55</f>
        <v>156604.23359926464</v>
      </c>
      <c r="I91" s="172">
        <f t="shared" si="5"/>
        <v>0</v>
      </c>
      <c r="J91" s="176">
        <f>SUMIFS(BasilRadata[8E. Oppgi antall årsverk barnehagen har pensjonsforpliktelser for:],BasilRadata[År],'0. Oppsett'!$C$7-1,BasilRadata[1B. Organisasjonsnummer:],'X. Utbetalingsmodul'!$C91)</f>
        <v>0</v>
      </c>
      <c r="K91" s="172" t="e">
        <f>_xlfn.XLOOKUP(C91,'X. Satser pensjonstilskudd'!$C$5:$C$224,'X. Satser pensjonstilskudd'!$I$5:$I$224)</f>
        <v>#DIV/0!</v>
      </c>
      <c r="L91" s="173" t="e">
        <f t="shared" si="6"/>
        <v>#DIV/0!</v>
      </c>
      <c r="M91" s="147">
        <f t="shared" si="7"/>
        <v>0</v>
      </c>
      <c r="N91" s="32">
        <f>IFERROR(M91*'0. Oppsett'!$C$30,0)</f>
        <v>0</v>
      </c>
      <c r="O91" s="33">
        <v>0</v>
      </c>
      <c r="P91" s="33"/>
      <c r="Q91" s="33"/>
      <c r="R91" s="33"/>
      <c r="S91" s="33">
        <v>0</v>
      </c>
      <c r="T91" s="34">
        <v>0</v>
      </c>
      <c r="U91" s="35">
        <f t="shared" si="8"/>
        <v>0</v>
      </c>
    </row>
    <row r="92" spans="1:21" ht="15.75" thickBot="1" x14ac:dyDescent="0.3">
      <c r="A92" s="21">
        <v>88</v>
      </c>
      <c r="B92" s="150">
        <f>'X. Satser pensjonstilskudd'!B92</f>
        <v>0</v>
      </c>
      <c r="C92" s="18">
        <f>'X. Satser pensjonstilskudd'!C92</f>
        <v>0</v>
      </c>
      <c r="D92" s="18" t="str">
        <f>IFERROR(_xlfn.XLOOKUP($C92,factPensjon[Virksomhetsnr.],factPensjon[Forpliktelser]),"")</f>
        <v/>
      </c>
      <c r="E92" s="148">
        <f>SUMIFS(BasilRadata[Heltidsplasser
0-2],BasilRadata[År],'0. Oppsett'!$C$7-1,BasilRadata[1B. Organisasjonsnummer:],$C92)</f>
        <v>0</v>
      </c>
      <c r="F92" s="25">
        <f>'4. Selvkost og satser'!$B$54</f>
        <v>288170.9461329499</v>
      </c>
      <c r="G92" s="148">
        <f>SUMIFS(BasilRadata[Heltidsplasser
3-6],BasilRadata[År],'0. Oppsett'!$C$7-1,BasilRadata[1B. Organisasjonsnummer:],$C92)</f>
        <v>0</v>
      </c>
      <c r="H92" s="25">
        <f>'4. Selvkost og satser'!$B$55</f>
        <v>156604.23359926464</v>
      </c>
      <c r="I92" s="172">
        <f t="shared" si="5"/>
        <v>0</v>
      </c>
      <c r="J92" s="176">
        <f>SUMIFS(BasilRadata[8E. Oppgi antall årsverk barnehagen har pensjonsforpliktelser for:],BasilRadata[År],'0. Oppsett'!$C$7-1,BasilRadata[1B. Organisasjonsnummer:],'X. Utbetalingsmodul'!$C92)</f>
        <v>0</v>
      </c>
      <c r="K92" s="172" t="e">
        <f>_xlfn.XLOOKUP(C92,'X. Satser pensjonstilskudd'!$C$5:$C$224,'X. Satser pensjonstilskudd'!$I$5:$I$224)</f>
        <v>#DIV/0!</v>
      </c>
      <c r="L92" s="173" t="e">
        <f t="shared" si="6"/>
        <v>#DIV/0!</v>
      </c>
      <c r="M92" s="147">
        <f t="shared" si="7"/>
        <v>0</v>
      </c>
      <c r="N92" s="32">
        <f>IFERROR(M92*'0. Oppsett'!$C$30,0)</f>
        <v>0</v>
      </c>
      <c r="O92" s="33">
        <v>0</v>
      </c>
      <c r="P92" s="33"/>
      <c r="Q92" s="33"/>
      <c r="R92" s="33"/>
      <c r="S92" s="33">
        <v>0</v>
      </c>
      <c r="T92" s="34">
        <v>0</v>
      </c>
      <c r="U92" s="35">
        <f t="shared" si="8"/>
        <v>0</v>
      </c>
    </row>
    <row r="93" spans="1:21" ht="15.75" thickBot="1" x14ac:dyDescent="0.3">
      <c r="A93" s="17">
        <v>89</v>
      </c>
      <c r="B93" s="150">
        <f>'X. Satser pensjonstilskudd'!B93</f>
        <v>0</v>
      </c>
      <c r="C93" s="18">
        <f>'X. Satser pensjonstilskudd'!C93</f>
        <v>0</v>
      </c>
      <c r="D93" s="18" t="str">
        <f>IFERROR(_xlfn.XLOOKUP($C93,factPensjon[Virksomhetsnr.],factPensjon[Forpliktelser]),"")</f>
        <v/>
      </c>
      <c r="E93" s="148">
        <f>SUMIFS(BasilRadata[Heltidsplasser
0-2],BasilRadata[År],'0. Oppsett'!$C$7-1,BasilRadata[1B. Organisasjonsnummer:],$C93)</f>
        <v>0</v>
      </c>
      <c r="F93" s="25">
        <f>'4. Selvkost og satser'!$B$54</f>
        <v>288170.9461329499</v>
      </c>
      <c r="G93" s="148">
        <f>SUMIFS(BasilRadata[Heltidsplasser
3-6],BasilRadata[År],'0. Oppsett'!$C$7-1,BasilRadata[1B. Organisasjonsnummer:],$C93)</f>
        <v>0</v>
      </c>
      <c r="H93" s="25">
        <f>'4. Selvkost og satser'!$B$55</f>
        <v>156604.23359926464</v>
      </c>
      <c r="I93" s="172">
        <f t="shared" si="5"/>
        <v>0</v>
      </c>
      <c r="J93" s="176">
        <f>SUMIFS(BasilRadata[8E. Oppgi antall årsverk barnehagen har pensjonsforpliktelser for:],BasilRadata[År],'0. Oppsett'!$C$7-1,BasilRadata[1B. Organisasjonsnummer:],'X. Utbetalingsmodul'!$C93)</f>
        <v>0</v>
      </c>
      <c r="K93" s="172" t="e">
        <f>_xlfn.XLOOKUP(C93,'X. Satser pensjonstilskudd'!$C$5:$C$224,'X. Satser pensjonstilskudd'!$I$5:$I$224)</f>
        <v>#DIV/0!</v>
      </c>
      <c r="L93" s="173" t="e">
        <f t="shared" si="6"/>
        <v>#DIV/0!</v>
      </c>
      <c r="M93" s="147">
        <f t="shared" si="7"/>
        <v>0</v>
      </c>
      <c r="N93" s="32">
        <f>IFERROR(M93*'0. Oppsett'!$C$30,0)</f>
        <v>0</v>
      </c>
      <c r="O93" s="33">
        <v>0</v>
      </c>
      <c r="P93" s="33"/>
      <c r="Q93" s="33"/>
      <c r="R93" s="33"/>
      <c r="S93" s="33">
        <v>0</v>
      </c>
      <c r="T93" s="34">
        <v>0</v>
      </c>
      <c r="U93" s="35">
        <f t="shared" si="8"/>
        <v>0</v>
      </c>
    </row>
    <row r="94" spans="1:21" ht="15.75" thickBot="1" x14ac:dyDescent="0.3">
      <c r="A94" s="21">
        <v>90</v>
      </c>
      <c r="B94" s="150">
        <f>'X. Satser pensjonstilskudd'!B94</f>
        <v>0</v>
      </c>
      <c r="C94" s="18">
        <f>'X. Satser pensjonstilskudd'!C94</f>
        <v>0</v>
      </c>
      <c r="D94" s="18" t="str">
        <f>IFERROR(_xlfn.XLOOKUP($C94,factPensjon[Virksomhetsnr.],factPensjon[Forpliktelser]),"")</f>
        <v/>
      </c>
      <c r="E94" s="148">
        <f>SUMIFS(BasilRadata[Heltidsplasser
0-2],BasilRadata[År],'0. Oppsett'!$C$7-1,BasilRadata[1B. Organisasjonsnummer:],$C94)</f>
        <v>0</v>
      </c>
      <c r="F94" s="25">
        <f>'4. Selvkost og satser'!$B$54</f>
        <v>288170.9461329499</v>
      </c>
      <c r="G94" s="148">
        <f>SUMIFS(BasilRadata[Heltidsplasser
3-6],BasilRadata[År],'0. Oppsett'!$C$7-1,BasilRadata[1B. Organisasjonsnummer:],$C94)</f>
        <v>0</v>
      </c>
      <c r="H94" s="25">
        <f>'4. Selvkost og satser'!$B$55</f>
        <v>156604.23359926464</v>
      </c>
      <c r="I94" s="172">
        <f t="shared" si="5"/>
        <v>0</v>
      </c>
      <c r="J94" s="176">
        <f>SUMIFS(BasilRadata[8E. Oppgi antall årsverk barnehagen har pensjonsforpliktelser for:],BasilRadata[År],'0. Oppsett'!$C$7-1,BasilRadata[1B. Organisasjonsnummer:],'X. Utbetalingsmodul'!$C94)</f>
        <v>0</v>
      </c>
      <c r="K94" s="172" t="e">
        <f>_xlfn.XLOOKUP(C94,'X. Satser pensjonstilskudd'!$C$5:$C$224,'X. Satser pensjonstilskudd'!$I$5:$I$224)</f>
        <v>#DIV/0!</v>
      </c>
      <c r="L94" s="173" t="e">
        <f t="shared" si="6"/>
        <v>#DIV/0!</v>
      </c>
      <c r="M94" s="147">
        <f t="shared" si="7"/>
        <v>0</v>
      </c>
      <c r="N94" s="32">
        <f>IFERROR(M94*'0. Oppsett'!$C$30,0)</f>
        <v>0</v>
      </c>
      <c r="O94" s="33">
        <v>0</v>
      </c>
      <c r="P94" s="33"/>
      <c r="Q94" s="33"/>
      <c r="R94" s="33"/>
      <c r="S94" s="33">
        <v>0</v>
      </c>
      <c r="T94" s="34">
        <v>0</v>
      </c>
      <c r="U94" s="35">
        <f t="shared" si="8"/>
        <v>0</v>
      </c>
    </row>
    <row r="95" spans="1:21" ht="15.75" thickBot="1" x14ac:dyDescent="0.3">
      <c r="A95" s="17">
        <v>91</v>
      </c>
      <c r="B95" s="150">
        <f>'X. Satser pensjonstilskudd'!B95</f>
        <v>0</v>
      </c>
      <c r="C95" s="18">
        <f>'X. Satser pensjonstilskudd'!C95</f>
        <v>0</v>
      </c>
      <c r="D95" s="18" t="str">
        <f>IFERROR(_xlfn.XLOOKUP($C95,factPensjon[Virksomhetsnr.],factPensjon[Forpliktelser]),"")</f>
        <v/>
      </c>
      <c r="E95" s="148">
        <f>SUMIFS(BasilRadata[Heltidsplasser
0-2],BasilRadata[År],'0. Oppsett'!$C$7-1,BasilRadata[1B. Organisasjonsnummer:],$C95)</f>
        <v>0</v>
      </c>
      <c r="F95" s="25">
        <f>'4. Selvkost og satser'!$B$54</f>
        <v>288170.9461329499</v>
      </c>
      <c r="G95" s="148">
        <f>SUMIFS(BasilRadata[Heltidsplasser
3-6],BasilRadata[År],'0. Oppsett'!$C$7-1,BasilRadata[1B. Organisasjonsnummer:],$C95)</f>
        <v>0</v>
      </c>
      <c r="H95" s="25">
        <f>'4. Selvkost og satser'!$B$55</f>
        <v>156604.23359926464</v>
      </c>
      <c r="I95" s="172">
        <f t="shared" si="5"/>
        <v>0</v>
      </c>
      <c r="J95" s="176">
        <f>SUMIFS(BasilRadata[8E. Oppgi antall årsverk barnehagen har pensjonsforpliktelser for:],BasilRadata[År],'0. Oppsett'!$C$7-1,BasilRadata[1B. Organisasjonsnummer:],'X. Utbetalingsmodul'!$C95)</f>
        <v>0</v>
      </c>
      <c r="K95" s="172" t="e">
        <f>_xlfn.XLOOKUP(C95,'X. Satser pensjonstilskudd'!$C$5:$C$224,'X. Satser pensjonstilskudd'!$I$5:$I$224)</f>
        <v>#DIV/0!</v>
      </c>
      <c r="L95" s="173" t="e">
        <f t="shared" si="6"/>
        <v>#DIV/0!</v>
      </c>
      <c r="M95" s="147">
        <f t="shared" si="7"/>
        <v>0</v>
      </c>
      <c r="N95" s="32">
        <f>IFERROR(M95*'0. Oppsett'!$C$30,0)</f>
        <v>0</v>
      </c>
      <c r="O95" s="33">
        <v>0</v>
      </c>
      <c r="P95" s="33"/>
      <c r="Q95" s="33"/>
      <c r="R95" s="33"/>
      <c r="S95" s="33">
        <v>0</v>
      </c>
      <c r="T95" s="34">
        <v>0</v>
      </c>
      <c r="U95" s="35">
        <f t="shared" si="8"/>
        <v>0</v>
      </c>
    </row>
    <row r="96" spans="1:21" ht="15.75" thickBot="1" x14ac:dyDescent="0.3">
      <c r="A96" s="21">
        <v>92</v>
      </c>
      <c r="B96" s="150">
        <f>'X. Satser pensjonstilskudd'!B96</f>
        <v>0</v>
      </c>
      <c r="C96" s="18">
        <f>'X. Satser pensjonstilskudd'!C96</f>
        <v>0</v>
      </c>
      <c r="D96" s="18" t="str">
        <f>IFERROR(_xlfn.XLOOKUP($C96,factPensjon[Virksomhetsnr.],factPensjon[Forpliktelser]),"")</f>
        <v/>
      </c>
      <c r="E96" s="148">
        <f>SUMIFS(BasilRadata[Heltidsplasser
0-2],BasilRadata[År],'0. Oppsett'!$C$7-1,BasilRadata[1B. Organisasjonsnummer:],$C96)</f>
        <v>0</v>
      </c>
      <c r="F96" s="25">
        <f>'4. Selvkost og satser'!$B$54</f>
        <v>288170.9461329499</v>
      </c>
      <c r="G96" s="148">
        <f>SUMIFS(BasilRadata[Heltidsplasser
3-6],BasilRadata[År],'0. Oppsett'!$C$7-1,BasilRadata[1B. Organisasjonsnummer:],$C96)</f>
        <v>0</v>
      </c>
      <c r="H96" s="25">
        <f>'4. Selvkost og satser'!$B$55</f>
        <v>156604.23359926464</v>
      </c>
      <c r="I96" s="172">
        <f t="shared" si="5"/>
        <v>0</v>
      </c>
      <c r="J96" s="176">
        <f>SUMIFS(BasilRadata[8E. Oppgi antall årsverk barnehagen har pensjonsforpliktelser for:],BasilRadata[År],'0. Oppsett'!$C$7-1,BasilRadata[1B. Organisasjonsnummer:],'X. Utbetalingsmodul'!$C96)</f>
        <v>0</v>
      </c>
      <c r="K96" s="172" t="e">
        <f>_xlfn.XLOOKUP(C96,'X. Satser pensjonstilskudd'!$C$5:$C$224,'X. Satser pensjonstilskudd'!$I$5:$I$224)</f>
        <v>#DIV/0!</v>
      </c>
      <c r="L96" s="173" t="e">
        <f t="shared" si="6"/>
        <v>#DIV/0!</v>
      </c>
      <c r="M96" s="147">
        <f t="shared" si="7"/>
        <v>0</v>
      </c>
      <c r="N96" s="32">
        <f>IFERROR(M96*'0. Oppsett'!$C$30,0)</f>
        <v>0</v>
      </c>
      <c r="O96" s="33">
        <v>0</v>
      </c>
      <c r="P96" s="33"/>
      <c r="Q96" s="33"/>
      <c r="R96" s="33"/>
      <c r="S96" s="33">
        <v>0</v>
      </c>
      <c r="T96" s="34">
        <v>0</v>
      </c>
      <c r="U96" s="35">
        <f t="shared" si="8"/>
        <v>0</v>
      </c>
    </row>
    <row r="97" spans="1:21" ht="15.75" thickBot="1" x14ac:dyDescent="0.3">
      <c r="A97" s="17">
        <v>93</v>
      </c>
      <c r="B97" s="150">
        <f>'X. Satser pensjonstilskudd'!B97</f>
        <v>0</v>
      </c>
      <c r="C97" s="18">
        <f>'X. Satser pensjonstilskudd'!C97</f>
        <v>0</v>
      </c>
      <c r="D97" s="18" t="str">
        <f>IFERROR(_xlfn.XLOOKUP($C97,factPensjon[Virksomhetsnr.],factPensjon[Forpliktelser]),"")</f>
        <v/>
      </c>
      <c r="E97" s="148">
        <f>SUMIFS(BasilRadata[Heltidsplasser
0-2],BasilRadata[År],'0. Oppsett'!$C$7-1,BasilRadata[1B. Organisasjonsnummer:],$C97)</f>
        <v>0</v>
      </c>
      <c r="F97" s="25">
        <f>'4. Selvkost og satser'!$B$54</f>
        <v>288170.9461329499</v>
      </c>
      <c r="G97" s="148">
        <f>SUMIFS(BasilRadata[Heltidsplasser
3-6],BasilRadata[År],'0. Oppsett'!$C$7-1,BasilRadata[1B. Organisasjonsnummer:],$C97)</f>
        <v>0</v>
      </c>
      <c r="H97" s="25">
        <f>'4. Selvkost og satser'!$B$55</f>
        <v>156604.23359926464</v>
      </c>
      <c r="I97" s="172">
        <f t="shared" si="5"/>
        <v>0</v>
      </c>
      <c r="J97" s="176">
        <f>SUMIFS(BasilRadata[8E. Oppgi antall årsverk barnehagen har pensjonsforpliktelser for:],BasilRadata[År],'0. Oppsett'!$C$7-1,BasilRadata[1B. Organisasjonsnummer:],'X. Utbetalingsmodul'!$C97)</f>
        <v>0</v>
      </c>
      <c r="K97" s="172" t="e">
        <f>_xlfn.XLOOKUP(C97,'X. Satser pensjonstilskudd'!$C$5:$C$224,'X. Satser pensjonstilskudd'!$I$5:$I$224)</f>
        <v>#DIV/0!</v>
      </c>
      <c r="L97" s="173" t="e">
        <f t="shared" si="6"/>
        <v>#DIV/0!</v>
      </c>
      <c r="M97" s="147">
        <f t="shared" si="7"/>
        <v>0</v>
      </c>
      <c r="N97" s="32">
        <f>IFERROR(M97*'0. Oppsett'!$C$30,0)</f>
        <v>0</v>
      </c>
      <c r="O97" s="33">
        <v>0</v>
      </c>
      <c r="P97" s="33"/>
      <c r="Q97" s="33"/>
      <c r="R97" s="33"/>
      <c r="S97" s="33">
        <v>0</v>
      </c>
      <c r="T97" s="34">
        <v>0</v>
      </c>
      <c r="U97" s="35">
        <f t="shared" si="8"/>
        <v>0</v>
      </c>
    </row>
    <row r="98" spans="1:21" ht="15.75" thickBot="1" x14ac:dyDescent="0.3">
      <c r="A98" s="21">
        <v>94</v>
      </c>
      <c r="B98" s="150">
        <f>'X. Satser pensjonstilskudd'!B98</f>
        <v>0</v>
      </c>
      <c r="C98" s="18">
        <f>'X. Satser pensjonstilskudd'!C98</f>
        <v>0</v>
      </c>
      <c r="D98" s="18" t="str">
        <f>IFERROR(_xlfn.XLOOKUP($C98,factPensjon[Virksomhetsnr.],factPensjon[Forpliktelser]),"")</f>
        <v/>
      </c>
      <c r="E98" s="148">
        <f>SUMIFS(BasilRadata[Heltidsplasser
0-2],BasilRadata[År],'0. Oppsett'!$C$7-1,BasilRadata[1B. Organisasjonsnummer:],$C98)</f>
        <v>0</v>
      </c>
      <c r="F98" s="25">
        <f>'4. Selvkost og satser'!$B$54</f>
        <v>288170.9461329499</v>
      </c>
      <c r="G98" s="148">
        <f>SUMIFS(BasilRadata[Heltidsplasser
3-6],BasilRadata[År],'0. Oppsett'!$C$7-1,BasilRadata[1B. Organisasjonsnummer:],$C98)</f>
        <v>0</v>
      </c>
      <c r="H98" s="25">
        <f>'4. Selvkost og satser'!$B$55</f>
        <v>156604.23359926464</v>
      </c>
      <c r="I98" s="172">
        <f t="shared" si="5"/>
        <v>0</v>
      </c>
      <c r="J98" s="176">
        <f>SUMIFS(BasilRadata[8E. Oppgi antall årsverk barnehagen har pensjonsforpliktelser for:],BasilRadata[År],'0. Oppsett'!$C$7-1,BasilRadata[1B. Organisasjonsnummer:],'X. Utbetalingsmodul'!$C98)</f>
        <v>0</v>
      </c>
      <c r="K98" s="172" t="e">
        <f>_xlfn.XLOOKUP(C98,'X. Satser pensjonstilskudd'!$C$5:$C$224,'X. Satser pensjonstilskudd'!$I$5:$I$224)</f>
        <v>#DIV/0!</v>
      </c>
      <c r="L98" s="173" t="e">
        <f t="shared" si="6"/>
        <v>#DIV/0!</v>
      </c>
      <c r="M98" s="147">
        <f t="shared" si="7"/>
        <v>0</v>
      </c>
      <c r="N98" s="32">
        <f>IFERROR(M98*'0. Oppsett'!$C$30,0)</f>
        <v>0</v>
      </c>
      <c r="O98" s="33">
        <v>0</v>
      </c>
      <c r="P98" s="33"/>
      <c r="Q98" s="33"/>
      <c r="R98" s="33"/>
      <c r="S98" s="33">
        <v>0</v>
      </c>
      <c r="T98" s="34">
        <v>0</v>
      </c>
      <c r="U98" s="35">
        <f t="shared" si="8"/>
        <v>0</v>
      </c>
    </row>
    <row r="99" spans="1:21" ht="15.75" thickBot="1" x14ac:dyDescent="0.3">
      <c r="A99" s="17">
        <v>95</v>
      </c>
      <c r="B99" s="150">
        <f>'X. Satser pensjonstilskudd'!B99</f>
        <v>0</v>
      </c>
      <c r="C99" s="18">
        <f>'X. Satser pensjonstilskudd'!C99</f>
        <v>0</v>
      </c>
      <c r="D99" s="18" t="str">
        <f>IFERROR(_xlfn.XLOOKUP($C99,factPensjon[Virksomhetsnr.],factPensjon[Forpliktelser]),"")</f>
        <v/>
      </c>
      <c r="E99" s="148">
        <f>SUMIFS(BasilRadata[Heltidsplasser
0-2],BasilRadata[År],'0. Oppsett'!$C$7-1,BasilRadata[1B. Organisasjonsnummer:],$C99)</f>
        <v>0</v>
      </c>
      <c r="F99" s="25">
        <f>'4. Selvkost og satser'!$B$54</f>
        <v>288170.9461329499</v>
      </c>
      <c r="G99" s="148">
        <f>SUMIFS(BasilRadata[Heltidsplasser
3-6],BasilRadata[År],'0. Oppsett'!$C$7-1,BasilRadata[1B. Organisasjonsnummer:],$C99)</f>
        <v>0</v>
      </c>
      <c r="H99" s="25">
        <f>'4. Selvkost og satser'!$B$55</f>
        <v>156604.23359926464</v>
      </c>
      <c r="I99" s="172">
        <f t="shared" si="5"/>
        <v>0</v>
      </c>
      <c r="J99" s="176">
        <f>SUMIFS(BasilRadata[8E. Oppgi antall årsverk barnehagen har pensjonsforpliktelser for:],BasilRadata[År],'0. Oppsett'!$C$7-1,BasilRadata[1B. Organisasjonsnummer:],'X. Utbetalingsmodul'!$C99)</f>
        <v>0</v>
      </c>
      <c r="K99" s="172" t="e">
        <f>_xlfn.XLOOKUP(C99,'X. Satser pensjonstilskudd'!$C$5:$C$224,'X. Satser pensjonstilskudd'!$I$5:$I$224)</f>
        <v>#DIV/0!</v>
      </c>
      <c r="L99" s="173" t="e">
        <f t="shared" si="6"/>
        <v>#DIV/0!</v>
      </c>
      <c r="M99" s="147">
        <f t="shared" si="7"/>
        <v>0</v>
      </c>
      <c r="N99" s="32">
        <f>IFERROR(M99*'0. Oppsett'!$C$30,0)</f>
        <v>0</v>
      </c>
      <c r="O99" s="33">
        <v>0</v>
      </c>
      <c r="P99" s="33"/>
      <c r="Q99" s="33"/>
      <c r="R99" s="33"/>
      <c r="S99" s="33">
        <v>0</v>
      </c>
      <c r="T99" s="34">
        <v>0</v>
      </c>
      <c r="U99" s="35">
        <f t="shared" si="8"/>
        <v>0</v>
      </c>
    </row>
    <row r="100" spans="1:21" ht="15.75" thickBot="1" x14ac:dyDescent="0.3">
      <c r="A100" s="21">
        <v>96</v>
      </c>
      <c r="B100" s="150">
        <f>'X. Satser pensjonstilskudd'!B100</f>
        <v>0</v>
      </c>
      <c r="C100" s="18">
        <f>'X. Satser pensjonstilskudd'!C100</f>
        <v>0</v>
      </c>
      <c r="D100" s="18" t="str">
        <f>IFERROR(_xlfn.XLOOKUP($C100,factPensjon[Virksomhetsnr.],factPensjon[Forpliktelser]),"")</f>
        <v/>
      </c>
      <c r="E100" s="148">
        <f>SUMIFS(BasilRadata[Heltidsplasser
0-2],BasilRadata[År],'0. Oppsett'!$C$7-1,BasilRadata[1B. Organisasjonsnummer:],$C100)</f>
        <v>0</v>
      </c>
      <c r="F100" s="25">
        <f>'4. Selvkost og satser'!$B$54</f>
        <v>288170.9461329499</v>
      </c>
      <c r="G100" s="148">
        <f>SUMIFS(BasilRadata[Heltidsplasser
3-6],BasilRadata[År],'0. Oppsett'!$C$7-1,BasilRadata[1B. Organisasjonsnummer:],$C100)</f>
        <v>0</v>
      </c>
      <c r="H100" s="25">
        <f>'4. Selvkost og satser'!$B$55</f>
        <v>156604.23359926464</v>
      </c>
      <c r="I100" s="172">
        <f t="shared" si="5"/>
        <v>0</v>
      </c>
      <c r="J100" s="176">
        <f>SUMIFS(BasilRadata[8E. Oppgi antall årsverk barnehagen har pensjonsforpliktelser for:],BasilRadata[År],'0. Oppsett'!$C$7-1,BasilRadata[1B. Organisasjonsnummer:],'X. Utbetalingsmodul'!$C100)</f>
        <v>0</v>
      </c>
      <c r="K100" s="172" t="e">
        <f>_xlfn.XLOOKUP(C100,'X. Satser pensjonstilskudd'!$C$5:$C$224,'X. Satser pensjonstilskudd'!$I$5:$I$224)</f>
        <v>#DIV/0!</v>
      </c>
      <c r="L100" s="173" t="e">
        <f t="shared" si="6"/>
        <v>#DIV/0!</v>
      </c>
      <c r="M100" s="147">
        <f t="shared" si="7"/>
        <v>0</v>
      </c>
      <c r="N100" s="32">
        <f>IFERROR(M100*'0. Oppsett'!$C$30,0)</f>
        <v>0</v>
      </c>
      <c r="O100" s="33">
        <v>0</v>
      </c>
      <c r="P100" s="33"/>
      <c r="Q100" s="33"/>
      <c r="R100" s="33"/>
      <c r="S100" s="33">
        <v>0</v>
      </c>
      <c r="T100" s="34">
        <v>0</v>
      </c>
      <c r="U100" s="35">
        <f t="shared" si="8"/>
        <v>0</v>
      </c>
    </row>
    <row r="101" spans="1:21" ht="15.75" thickBot="1" x14ac:dyDescent="0.3">
      <c r="A101" s="17">
        <v>97</v>
      </c>
      <c r="B101" s="150">
        <f>'X. Satser pensjonstilskudd'!B101</f>
        <v>0</v>
      </c>
      <c r="C101" s="18">
        <f>'X. Satser pensjonstilskudd'!C101</f>
        <v>0</v>
      </c>
      <c r="D101" s="18" t="str">
        <f>IFERROR(_xlfn.XLOOKUP($C101,factPensjon[Virksomhetsnr.],factPensjon[Forpliktelser]),"")</f>
        <v/>
      </c>
      <c r="E101" s="148">
        <f>SUMIFS(BasilRadata[Heltidsplasser
0-2],BasilRadata[År],'0. Oppsett'!$C$7-1,BasilRadata[1B. Organisasjonsnummer:],$C101)</f>
        <v>0</v>
      </c>
      <c r="F101" s="25">
        <f>'4. Selvkost og satser'!$B$54</f>
        <v>288170.9461329499</v>
      </c>
      <c r="G101" s="148">
        <f>SUMIFS(BasilRadata[Heltidsplasser
3-6],BasilRadata[År],'0. Oppsett'!$C$7-1,BasilRadata[1B. Organisasjonsnummer:],$C101)</f>
        <v>0</v>
      </c>
      <c r="H101" s="25">
        <f>'4. Selvkost og satser'!$B$55</f>
        <v>156604.23359926464</v>
      </c>
      <c r="I101" s="172">
        <f t="shared" si="5"/>
        <v>0</v>
      </c>
      <c r="J101" s="176">
        <f>SUMIFS(BasilRadata[8E. Oppgi antall årsverk barnehagen har pensjonsforpliktelser for:],BasilRadata[År],'0. Oppsett'!$C$7-1,BasilRadata[1B. Organisasjonsnummer:],'X. Utbetalingsmodul'!$C101)</f>
        <v>0</v>
      </c>
      <c r="K101" s="172" t="e">
        <f>_xlfn.XLOOKUP(C101,'X. Satser pensjonstilskudd'!$C$5:$C$224,'X. Satser pensjonstilskudd'!$I$5:$I$224)</f>
        <v>#DIV/0!</v>
      </c>
      <c r="L101" s="173" t="e">
        <f t="shared" si="6"/>
        <v>#DIV/0!</v>
      </c>
      <c r="M101" s="147">
        <f t="shared" si="7"/>
        <v>0</v>
      </c>
      <c r="N101" s="32">
        <f>IFERROR(M101*'0. Oppsett'!$C$30,0)</f>
        <v>0</v>
      </c>
      <c r="O101" s="33">
        <v>0</v>
      </c>
      <c r="P101" s="33"/>
      <c r="Q101" s="33"/>
      <c r="R101" s="33"/>
      <c r="S101" s="33">
        <v>0</v>
      </c>
      <c r="T101" s="34">
        <v>0</v>
      </c>
      <c r="U101" s="35">
        <f t="shared" si="8"/>
        <v>0</v>
      </c>
    </row>
    <row r="102" spans="1:21" ht="15.75" thickBot="1" x14ac:dyDescent="0.3">
      <c r="A102" s="21">
        <v>98</v>
      </c>
      <c r="B102" s="150">
        <f>'X. Satser pensjonstilskudd'!B102</f>
        <v>0</v>
      </c>
      <c r="C102" s="18">
        <f>'X. Satser pensjonstilskudd'!C102</f>
        <v>0</v>
      </c>
      <c r="D102" s="18" t="str">
        <f>IFERROR(_xlfn.XLOOKUP($C102,factPensjon[Virksomhetsnr.],factPensjon[Forpliktelser]),"")</f>
        <v/>
      </c>
      <c r="E102" s="148">
        <f>SUMIFS(BasilRadata[Heltidsplasser
0-2],BasilRadata[År],'0. Oppsett'!$C$7-1,BasilRadata[1B. Organisasjonsnummer:],$C102)</f>
        <v>0</v>
      </c>
      <c r="F102" s="25">
        <f>'4. Selvkost og satser'!$B$54</f>
        <v>288170.9461329499</v>
      </c>
      <c r="G102" s="148">
        <f>SUMIFS(BasilRadata[Heltidsplasser
3-6],BasilRadata[År],'0. Oppsett'!$C$7-1,BasilRadata[1B. Organisasjonsnummer:],$C102)</f>
        <v>0</v>
      </c>
      <c r="H102" s="25">
        <f>'4. Selvkost og satser'!$B$55</f>
        <v>156604.23359926464</v>
      </c>
      <c r="I102" s="172">
        <f t="shared" si="5"/>
        <v>0</v>
      </c>
      <c r="J102" s="176">
        <f>SUMIFS(BasilRadata[8E. Oppgi antall årsverk barnehagen har pensjonsforpliktelser for:],BasilRadata[År],'0. Oppsett'!$C$7-1,BasilRadata[1B. Organisasjonsnummer:],'X. Utbetalingsmodul'!$C102)</f>
        <v>0</v>
      </c>
      <c r="K102" s="172" t="e">
        <f>_xlfn.XLOOKUP(C102,'X. Satser pensjonstilskudd'!$C$5:$C$224,'X. Satser pensjonstilskudd'!$I$5:$I$224)</f>
        <v>#DIV/0!</v>
      </c>
      <c r="L102" s="173" t="e">
        <f t="shared" si="6"/>
        <v>#DIV/0!</v>
      </c>
      <c r="M102" s="147">
        <f t="shared" si="7"/>
        <v>0</v>
      </c>
      <c r="N102" s="32">
        <f>IFERROR(M102*'0. Oppsett'!$C$30,0)</f>
        <v>0</v>
      </c>
      <c r="O102" s="33">
        <v>0</v>
      </c>
      <c r="P102" s="33"/>
      <c r="Q102" s="33"/>
      <c r="R102" s="33"/>
      <c r="S102" s="33">
        <v>0</v>
      </c>
      <c r="T102" s="34">
        <v>0</v>
      </c>
      <c r="U102" s="35">
        <f t="shared" si="8"/>
        <v>0</v>
      </c>
    </row>
    <row r="103" spans="1:21" ht="15.75" thickBot="1" x14ac:dyDescent="0.3">
      <c r="A103" s="17">
        <v>99</v>
      </c>
      <c r="B103" s="150">
        <f>'X. Satser pensjonstilskudd'!B103</f>
        <v>0</v>
      </c>
      <c r="C103" s="18">
        <f>'X. Satser pensjonstilskudd'!C103</f>
        <v>0</v>
      </c>
      <c r="D103" s="18" t="str">
        <f>IFERROR(_xlfn.XLOOKUP($C103,factPensjon[Virksomhetsnr.],factPensjon[Forpliktelser]),"")</f>
        <v/>
      </c>
      <c r="E103" s="148">
        <f>SUMIFS(BasilRadata[Heltidsplasser
0-2],BasilRadata[År],'0. Oppsett'!$C$7-1,BasilRadata[1B. Organisasjonsnummer:],$C103)</f>
        <v>0</v>
      </c>
      <c r="F103" s="25">
        <f>'4. Selvkost og satser'!$B$54</f>
        <v>288170.9461329499</v>
      </c>
      <c r="G103" s="148">
        <f>SUMIFS(BasilRadata[Heltidsplasser
3-6],BasilRadata[År],'0. Oppsett'!$C$7-1,BasilRadata[1B. Organisasjonsnummer:],$C103)</f>
        <v>0</v>
      </c>
      <c r="H103" s="25">
        <f>'4. Selvkost og satser'!$B$55</f>
        <v>156604.23359926464</v>
      </c>
      <c r="I103" s="172">
        <f t="shared" si="5"/>
        <v>0</v>
      </c>
      <c r="J103" s="176">
        <f>SUMIFS(BasilRadata[8E. Oppgi antall årsverk barnehagen har pensjonsforpliktelser for:],BasilRadata[År],'0. Oppsett'!$C$7-1,BasilRadata[1B. Organisasjonsnummer:],'X. Utbetalingsmodul'!$C103)</f>
        <v>0</v>
      </c>
      <c r="K103" s="172" t="e">
        <f>_xlfn.XLOOKUP(C103,'X. Satser pensjonstilskudd'!$C$5:$C$224,'X. Satser pensjonstilskudd'!$I$5:$I$224)</f>
        <v>#DIV/0!</v>
      </c>
      <c r="L103" s="173" t="e">
        <f t="shared" si="6"/>
        <v>#DIV/0!</v>
      </c>
      <c r="M103" s="147">
        <f t="shared" si="7"/>
        <v>0</v>
      </c>
      <c r="N103" s="32">
        <f>IFERROR(M103*'0. Oppsett'!$C$30,0)</f>
        <v>0</v>
      </c>
      <c r="O103" s="33">
        <v>0</v>
      </c>
      <c r="P103" s="33"/>
      <c r="Q103" s="33"/>
      <c r="R103" s="33"/>
      <c r="S103" s="33">
        <v>0</v>
      </c>
      <c r="T103" s="34">
        <v>0</v>
      </c>
      <c r="U103" s="35">
        <f t="shared" si="8"/>
        <v>0</v>
      </c>
    </row>
    <row r="104" spans="1:21" ht="15.75" thickBot="1" x14ac:dyDescent="0.3">
      <c r="A104" s="21">
        <v>100</v>
      </c>
      <c r="B104" s="150">
        <f>'X. Satser pensjonstilskudd'!B104</f>
        <v>0</v>
      </c>
      <c r="C104" s="18">
        <f>'X. Satser pensjonstilskudd'!C104</f>
        <v>0</v>
      </c>
      <c r="D104" s="18" t="str">
        <f>IFERROR(_xlfn.XLOOKUP($C104,factPensjon[Virksomhetsnr.],factPensjon[Forpliktelser]),"")</f>
        <v/>
      </c>
      <c r="E104" s="148">
        <f>SUMIFS(BasilRadata[Heltidsplasser
0-2],BasilRadata[År],'0. Oppsett'!$C$7-1,BasilRadata[1B. Organisasjonsnummer:],$C104)</f>
        <v>0</v>
      </c>
      <c r="F104" s="25">
        <f>'4. Selvkost og satser'!$B$54</f>
        <v>288170.9461329499</v>
      </c>
      <c r="G104" s="148">
        <f>SUMIFS(BasilRadata[Heltidsplasser
3-6],BasilRadata[År],'0. Oppsett'!$C$7-1,BasilRadata[1B. Organisasjonsnummer:],$C104)</f>
        <v>0</v>
      </c>
      <c r="H104" s="25">
        <f>'4. Selvkost og satser'!$B$55</f>
        <v>156604.23359926464</v>
      </c>
      <c r="I104" s="172">
        <f t="shared" si="5"/>
        <v>0</v>
      </c>
      <c r="J104" s="176">
        <f>SUMIFS(BasilRadata[8E. Oppgi antall årsverk barnehagen har pensjonsforpliktelser for:],BasilRadata[År],'0. Oppsett'!$C$7-1,BasilRadata[1B. Organisasjonsnummer:],'X. Utbetalingsmodul'!$C104)</f>
        <v>0</v>
      </c>
      <c r="K104" s="172" t="e">
        <f>_xlfn.XLOOKUP(C104,'X. Satser pensjonstilskudd'!$C$5:$C$224,'X. Satser pensjonstilskudd'!$I$5:$I$224)</f>
        <v>#DIV/0!</v>
      </c>
      <c r="L104" s="173" t="e">
        <f t="shared" si="6"/>
        <v>#DIV/0!</v>
      </c>
      <c r="M104" s="147">
        <f t="shared" si="7"/>
        <v>0</v>
      </c>
      <c r="N104" s="32">
        <f>IFERROR(M104*'0. Oppsett'!$C$30,0)</f>
        <v>0</v>
      </c>
      <c r="O104" s="33">
        <v>0</v>
      </c>
      <c r="P104" s="33"/>
      <c r="Q104" s="33"/>
      <c r="R104" s="33"/>
      <c r="S104" s="33">
        <v>0</v>
      </c>
      <c r="T104" s="34">
        <v>0</v>
      </c>
      <c r="U104" s="35">
        <f t="shared" si="8"/>
        <v>0</v>
      </c>
    </row>
    <row r="105" spans="1:21" ht="15.75" thickBot="1" x14ac:dyDescent="0.3">
      <c r="A105" s="17">
        <v>101</v>
      </c>
      <c r="B105" s="150">
        <f>'X. Satser pensjonstilskudd'!B105</f>
        <v>0</v>
      </c>
      <c r="C105" s="18">
        <f>'X. Satser pensjonstilskudd'!C105</f>
        <v>0</v>
      </c>
      <c r="D105" s="18" t="str">
        <f>IFERROR(_xlfn.XLOOKUP($C105,factPensjon[Virksomhetsnr.],factPensjon[Forpliktelser]),"")</f>
        <v/>
      </c>
      <c r="E105" s="148">
        <f>SUMIFS(BasilRadata[Heltidsplasser
0-2],BasilRadata[År],'0. Oppsett'!$C$7-1,BasilRadata[1B. Organisasjonsnummer:],$C105)</f>
        <v>0</v>
      </c>
      <c r="F105" s="25">
        <f>'4. Selvkost og satser'!$B$54</f>
        <v>288170.9461329499</v>
      </c>
      <c r="G105" s="148">
        <f>SUMIFS(BasilRadata[Heltidsplasser
3-6],BasilRadata[År],'0. Oppsett'!$C$7-1,BasilRadata[1B. Organisasjonsnummer:],$C105)</f>
        <v>0</v>
      </c>
      <c r="H105" s="25">
        <f>'4. Selvkost og satser'!$B$55</f>
        <v>156604.23359926464</v>
      </c>
      <c r="I105" s="172">
        <f t="shared" si="5"/>
        <v>0</v>
      </c>
      <c r="J105" s="176">
        <f>SUMIFS(BasilRadata[8E. Oppgi antall årsverk barnehagen har pensjonsforpliktelser for:],BasilRadata[År],'0. Oppsett'!$C$7-1,BasilRadata[1B. Organisasjonsnummer:],'X. Utbetalingsmodul'!$C105)</f>
        <v>0</v>
      </c>
      <c r="K105" s="172" t="e">
        <f>_xlfn.XLOOKUP(C105,'X. Satser pensjonstilskudd'!$C$5:$C$224,'X. Satser pensjonstilskudd'!$I$5:$I$224)</f>
        <v>#DIV/0!</v>
      </c>
      <c r="L105" s="173" t="e">
        <f t="shared" si="6"/>
        <v>#DIV/0!</v>
      </c>
      <c r="M105" s="147">
        <f t="shared" si="7"/>
        <v>0</v>
      </c>
      <c r="N105" s="32">
        <f>IFERROR(M105*'0. Oppsett'!$C$30,0)</f>
        <v>0</v>
      </c>
      <c r="O105" s="33">
        <v>0</v>
      </c>
      <c r="P105" s="33"/>
      <c r="Q105" s="33"/>
      <c r="R105" s="33"/>
      <c r="S105" s="33">
        <v>0</v>
      </c>
      <c r="T105" s="34">
        <v>0</v>
      </c>
      <c r="U105" s="35">
        <f t="shared" si="8"/>
        <v>0</v>
      </c>
    </row>
    <row r="106" spans="1:21" ht="15.75" thickBot="1" x14ac:dyDescent="0.3">
      <c r="A106" s="21">
        <v>102</v>
      </c>
      <c r="B106" s="150">
        <f>'X. Satser pensjonstilskudd'!B106</f>
        <v>0</v>
      </c>
      <c r="C106" s="18">
        <f>'X. Satser pensjonstilskudd'!C106</f>
        <v>0</v>
      </c>
      <c r="D106" s="18" t="str">
        <f>IFERROR(_xlfn.XLOOKUP($C106,factPensjon[Virksomhetsnr.],factPensjon[Forpliktelser]),"")</f>
        <v/>
      </c>
      <c r="E106" s="148">
        <f>SUMIFS(BasilRadata[Heltidsplasser
0-2],BasilRadata[År],'0. Oppsett'!$C$7-1,BasilRadata[1B. Organisasjonsnummer:],$C106)</f>
        <v>0</v>
      </c>
      <c r="F106" s="25">
        <f>'4. Selvkost og satser'!$B$54</f>
        <v>288170.9461329499</v>
      </c>
      <c r="G106" s="148">
        <f>SUMIFS(BasilRadata[Heltidsplasser
3-6],BasilRadata[År],'0. Oppsett'!$C$7-1,BasilRadata[1B. Organisasjonsnummer:],$C106)</f>
        <v>0</v>
      </c>
      <c r="H106" s="25">
        <f>'4. Selvkost og satser'!$B$55</f>
        <v>156604.23359926464</v>
      </c>
      <c r="I106" s="172">
        <f t="shared" si="5"/>
        <v>0</v>
      </c>
      <c r="J106" s="176">
        <f>SUMIFS(BasilRadata[8E. Oppgi antall årsverk barnehagen har pensjonsforpliktelser for:],BasilRadata[År],'0. Oppsett'!$C$7-1,BasilRadata[1B. Organisasjonsnummer:],'X. Utbetalingsmodul'!$C106)</f>
        <v>0</v>
      </c>
      <c r="K106" s="172" t="e">
        <f>_xlfn.XLOOKUP(C106,'X. Satser pensjonstilskudd'!$C$5:$C$224,'X. Satser pensjonstilskudd'!$I$5:$I$224)</f>
        <v>#DIV/0!</v>
      </c>
      <c r="L106" s="173" t="e">
        <f t="shared" si="6"/>
        <v>#DIV/0!</v>
      </c>
      <c r="M106" s="147">
        <f t="shared" si="7"/>
        <v>0</v>
      </c>
      <c r="N106" s="32">
        <f>IFERROR(M106*'0. Oppsett'!$C$30,0)</f>
        <v>0</v>
      </c>
      <c r="O106" s="33">
        <v>0</v>
      </c>
      <c r="P106" s="33"/>
      <c r="Q106" s="33"/>
      <c r="R106" s="33"/>
      <c r="S106" s="33">
        <v>0</v>
      </c>
      <c r="T106" s="34">
        <v>0</v>
      </c>
      <c r="U106" s="35">
        <f t="shared" si="8"/>
        <v>0</v>
      </c>
    </row>
    <row r="107" spans="1:21" ht="15.75" thickBot="1" x14ac:dyDescent="0.3">
      <c r="A107" s="17">
        <v>103</v>
      </c>
      <c r="B107" s="150">
        <f>'X. Satser pensjonstilskudd'!B107</f>
        <v>0</v>
      </c>
      <c r="C107" s="18">
        <f>'X. Satser pensjonstilskudd'!C107</f>
        <v>0</v>
      </c>
      <c r="D107" s="18" t="str">
        <f>IFERROR(_xlfn.XLOOKUP($C107,factPensjon[Virksomhetsnr.],factPensjon[Forpliktelser]),"")</f>
        <v/>
      </c>
      <c r="E107" s="148">
        <f>SUMIFS(BasilRadata[Heltidsplasser
0-2],BasilRadata[År],'0. Oppsett'!$C$7-1,BasilRadata[1B. Organisasjonsnummer:],$C107)</f>
        <v>0</v>
      </c>
      <c r="F107" s="25">
        <f>'4. Selvkost og satser'!$B$54</f>
        <v>288170.9461329499</v>
      </c>
      <c r="G107" s="148">
        <f>SUMIFS(BasilRadata[Heltidsplasser
3-6],BasilRadata[År],'0. Oppsett'!$C$7-1,BasilRadata[1B. Organisasjonsnummer:],$C107)</f>
        <v>0</v>
      </c>
      <c r="H107" s="25">
        <f>'4. Selvkost og satser'!$B$55</f>
        <v>156604.23359926464</v>
      </c>
      <c r="I107" s="172">
        <f t="shared" si="5"/>
        <v>0</v>
      </c>
      <c r="J107" s="176">
        <f>SUMIFS(BasilRadata[8E. Oppgi antall årsverk barnehagen har pensjonsforpliktelser for:],BasilRadata[År],'0. Oppsett'!$C$7-1,BasilRadata[1B. Organisasjonsnummer:],'X. Utbetalingsmodul'!$C107)</f>
        <v>0</v>
      </c>
      <c r="K107" s="172" t="e">
        <f>_xlfn.XLOOKUP(C107,'X. Satser pensjonstilskudd'!$C$5:$C$224,'X. Satser pensjonstilskudd'!$I$5:$I$224)</f>
        <v>#DIV/0!</v>
      </c>
      <c r="L107" s="173" t="e">
        <f t="shared" si="6"/>
        <v>#DIV/0!</v>
      </c>
      <c r="M107" s="147">
        <f t="shared" si="7"/>
        <v>0</v>
      </c>
      <c r="N107" s="32">
        <f>IFERROR(M107*'0. Oppsett'!$C$30,0)</f>
        <v>0</v>
      </c>
      <c r="O107" s="33">
        <v>0</v>
      </c>
      <c r="P107" s="33"/>
      <c r="Q107" s="33"/>
      <c r="R107" s="33"/>
      <c r="S107" s="33">
        <v>0</v>
      </c>
      <c r="T107" s="34">
        <v>0</v>
      </c>
      <c r="U107" s="35">
        <f t="shared" si="8"/>
        <v>0</v>
      </c>
    </row>
    <row r="108" spans="1:21" ht="15.75" thickBot="1" x14ac:dyDescent="0.3">
      <c r="A108" s="21">
        <v>104</v>
      </c>
      <c r="B108" s="150">
        <f>'X. Satser pensjonstilskudd'!B108</f>
        <v>0</v>
      </c>
      <c r="C108" s="18">
        <f>'X. Satser pensjonstilskudd'!C108</f>
        <v>0</v>
      </c>
      <c r="D108" s="18" t="str">
        <f>IFERROR(_xlfn.XLOOKUP($C108,factPensjon[Virksomhetsnr.],factPensjon[Forpliktelser]),"")</f>
        <v/>
      </c>
      <c r="E108" s="148">
        <f>SUMIFS(BasilRadata[Heltidsplasser
0-2],BasilRadata[År],'0. Oppsett'!$C$7-1,BasilRadata[1B. Organisasjonsnummer:],$C108)</f>
        <v>0</v>
      </c>
      <c r="F108" s="25">
        <f>'4. Selvkost og satser'!$B$54</f>
        <v>288170.9461329499</v>
      </c>
      <c r="G108" s="148">
        <f>SUMIFS(BasilRadata[Heltidsplasser
3-6],BasilRadata[År],'0. Oppsett'!$C$7-1,BasilRadata[1B. Organisasjonsnummer:],$C108)</f>
        <v>0</v>
      </c>
      <c r="H108" s="25">
        <f>'4. Selvkost og satser'!$B$55</f>
        <v>156604.23359926464</v>
      </c>
      <c r="I108" s="172">
        <f t="shared" si="5"/>
        <v>0</v>
      </c>
      <c r="J108" s="176">
        <f>SUMIFS(BasilRadata[8E. Oppgi antall årsverk barnehagen har pensjonsforpliktelser for:],BasilRadata[År],'0. Oppsett'!$C$7-1,BasilRadata[1B. Organisasjonsnummer:],'X. Utbetalingsmodul'!$C108)</f>
        <v>0</v>
      </c>
      <c r="K108" s="172" t="e">
        <f>_xlfn.XLOOKUP(C108,'X. Satser pensjonstilskudd'!$C$5:$C$224,'X. Satser pensjonstilskudd'!$I$5:$I$224)</f>
        <v>#DIV/0!</v>
      </c>
      <c r="L108" s="173" t="e">
        <f t="shared" si="6"/>
        <v>#DIV/0!</v>
      </c>
      <c r="M108" s="147">
        <f t="shared" si="7"/>
        <v>0</v>
      </c>
      <c r="N108" s="32">
        <f>IFERROR(M108*'0. Oppsett'!$C$30,0)</f>
        <v>0</v>
      </c>
      <c r="O108" s="33">
        <v>0</v>
      </c>
      <c r="P108" s="33"/>
      <c r="Q108" s="33"/>
      <c r="R108" s="33"/>
      <c r="S108" s="33">
        <v>0</v>
      </c>
      <c r="T108" s="34">
        <v>0</v>
      </c>
      <c r="U108" s="35">
        <f t="shared" si="8"/>
        <v>0</v>
      </c>
    </row>
    <row r="109" spans="1:21" ht="15.75" thickBot="1" x14ac:dyDescent="0.3">
      <c r="A109" s="17">
        <v>105</v>
      </c>
      <c r="B109" s="150">
        <f>'X. Satser pensjonstilskudd'!B109</f>
        <v>0</v>
      </c>
      <c r="C109" s="18">
        <f>'X. Satser pensjonstilskudd'!C109</f>
        <v>0</v>
      </c>
      <c r="D109" s="18" t="str">
        <f>IFERROR(_xlfn.XLOOKUP($C109,factPensjon[Virksomhetsnr.],factPensjon[Forpliktelser]),"")</f>
        <v/>
      </c>
      <c r="E109" s="148">
        <f>SUMIFS(BasilRadata[Heltidsplasser
0-2],BasilRadata[År],'0. Oppsett'!$C$7-1,BasilRadata[1B. Organisasjonsnummer:],$C109)</f>
        <v>0</v>
      </c>
      <c r="F109" s="25">
        <f>'4. Selvkost og satser'!$B$54</f>
        <v>288170.9461329499</v>
      </c>
      <c r="G109" s="148">
        <f>SUMIFS(BasilRadata[Heltidsplasser
3-6],BasilRadata[År],'0. Oppsett'!$C$7-1,BasilRadata[1B. Organisasjonsnummer:],$C109)</f>
        <v>0</v>
      </c>
      <c r="H109" s="25">
        <f>'4. Selvkost og satser'!$B$55</f>
        <v>156604.23359926464</v>
      </c>
      <c r="I109" s="172">
        <f t="shared" si="5"/>
        <v>0</v>
      </c>
      <c r="J109" s="176">
        <f>SUMIFS(BasilRadata[8E. Oppgi antall årsverk barnehagen har pensjonsforpliktelser for:],BasilRadata[År],'0. Oppsett'!$C$7-1,BasilRadata[1B. Organisasjonsnummer:],'X. Utbetalingsmodul'!$C109)</f>
        <v>0</v>
      </c>
      <c r="K109" s="172" t="e">
        <f>_xlfn.XLOOKUP(C109,'X. Satser pensjonstilskudd'!$C$5:$C$224,'X. Satser pensjonstilskudd'!$I$5:$I$224)</f>
        <v>#DIV/0!</v>
      </c>
      <c r="L109" s="173" t="e">
        <f t="shared" si="6"/>
        <v>#DIV/0!</v>
      </c>
      <c r="M109" s="147">
        <f t="shared" si="7"/>
        <v>0</v>
      </c>
      <c r="N109" s="32">
        <f>IFERROR(M109*'0. Oppsett'!$C$30,0)</f>
        <v>0</v>
      </c>
      <c r="O109" s="33">
        <v>0</v>
      </c>
      <c r="P109" s="33"/>
      <c r="Q109" s="33"/>
      <c r="R109" s="33"/>
      <c r="S109" s="33">
        <v>0</v>
      </c>
      <c r="T109" s="34">
        <v>0</v>
      </c>
      <c r="U109" s="35">
        <f t="shared" si="8"/>
        <v>0</v>
      </c>
    </row>
    <row r="110" spans="1:21" ht="15.75" thickBot="1" x14ac:dyDescent="0.3">
      <c r="A110" s="21">
        <v>106</v>
      </c>
      <c r="B110" s="150">
        <f>'X. Satser pensjonstilskudd'!B110</f>
        <v>0</v>
      </c>
      <c r="C110" s="18">
        <f>'X. Satser pensjonstilskudd'!C110</f>
        <v>0</v>
      </c>
      <c r="D110" s="18" t="str">
        <f>IFERROR(_xlfn.XLOOKUP($C110,factPensjon[Virksomhetsnr.],factPensjon[Forpliktelser]),"")</f>
        <v/>
      </c>
      <c r="E110" s="148">
        <f>SUMIFS(BasilRadata[Heltidsplasser
0-2],BasilRadata[År],'0. Oppsett'!$C$7-1,BasilRadata[1B. Organisasjonsnummer:],$C110)</f>
        <v>0</v>
      </c>
      <c r="F110" s="25">
        <f>'4. Selvkost og satser'!$B$54</f>
        <v>288170.9461329499</v>
      </c>
      <c r="G110" s="148">
        <f>SUMIFS(BasilRadata[Heltidsplasser
3-6],BasilRadata[År],'0. Oppsett'!$C$7-1,BasilRadata[1B. Organisasjonsnummer:],$C110)</f>
        <v>0</v>
      </c>
      <c r="H110" s="25">
        <f>'4. Selvkost og satser'!$B$55</f>
        <v>156604.23359926464</v>
      </c>
      <c r="I110" s="172">
        <f t="shared" si="5"/>
        <v>0</v>
      </c>
      <c r="J110" s="176">
        <f>SUMIFS(BasilRadata[8E. Oppgi antall årsverk barnehagen har pensjonsforpliktelser for:],BasilRadata[År],'0. Oppsett'!$C$7-1,BasilRadata[1B. Organisasjonsnummer:],'X. Utbetalingsmodul'!$C110)</f>
        <v>0</v>
      </c>
      <c r="K110" s="172" t="e">
        <f>_xlfn.XLOOKUP(C110,'X. Satser pensjonstilskudd'!$C$5:$C$224,'X. Satser pensjonstilskudd'!$I$5:$I$224)</f>
        <v>#DIV/0!</v>
      </c>
      <c r="L110" s="173" t="e">
        <f t="shared" si="6"/>
        <v>#DIV/0!</v>
      </c>
      <c r="M110" s="147">
        <f t="shared" si="7"/>
        <v>0</v>
      </c>
      <c r="N110" s="32">
        <f>IFERROR(M110*'0. Oppsett'!$C$30,0)</f>
        <v>0</v>
      </c>
      <c r="O110" s="33">
        <v>0</v>
      </c>
      <c r="P110" s="33"/>
      <c r="Q110" s="33"/>
      <c r="R110" s="33"/>
      <c r="S110" s="33">
        <v>0</v>
      </c>
      <c r="T110" s="34">
        <v>0</v>
      </c>
      <c r="U110" s="35">
        <f t="shared" si="8"/>
        <v>0</v>
      </c>
    </row>
    <row r="111" spans="1:21" ht="15.75" thickBot="1" x14ac:dyDescent="0.3">
      <c r="A111" s="17">
        <v>107</v>
      </c>
      <c r="B111" s="150">
        <f>'X. Satser pensjonstilskudd'!B111</f>
        <v>0</v>
      </c>
      <c r="C111" s="18">
        <f>'X. Satser pensjonstilskudd'!C111</f>
        <v>0</v>
      </c>
      <c r="D111" s="18" t="str">
        <f>IFERROR(_xlfn.XLOOKUP($C111,factPensjon[Virksomhetsnr.],factPensjon[Forpliktelser]),"")</f>
        <v/>
      </c>
      <c r="E111" s="148">
        <f>SUMIFS(BasilRadata[Heltidsplasser
0-2],BasilRadata[År],'0. Oppsett'!$C$7-1,BasilRadata[1B. Organisasjonsnummer:],$C111)</f>
        <v>0</v>
      </c>
      <c r="F111" s="25">
        <f>'4. Selvkost og satser'!$B$54</f>
        <v>288170.9461329499</v>
      </c>
      <c r="G111" s="148">
        <f>SUMIFS(BasilRadata[Heltidsplasser
3-6],BasilRadata[År],'0. Oppsett'!$C$7-1,BasilRadata[1B. Organisasjonsnummer:],$C111)</f>
        <v>0</v>
      </c>
      <c r="H111" s="25">
        <f>'4. Selvkost og satser'!$B$55</f>
        <v>156604.23359926464</v>
      </c>
      <c r="I111" s="172">
        <f t="shared" si="5"/>
        <v>0</v>
      </c>
      <c r="J111" s="176">
        <f>SUMIFS(BasilRadata[8E. Oppgi antall årsverk barnehagen har pensjonsforpliktelser for:],BasilRadata[År],'0. Oppsett'!$C$7-1,BasilRadata[1B. Organisasjonsnummer:],'X. Utbetalingsmodul'!$C111)</f>
        <v>0</v>
      </c>
      <c r="K111" s="172" t="e">
        <f>_xlfn.XLOOKUP(C111,'X. Satser pensjonstilskudd'!$C$5:$C$224,'X. Satser pensjonstilskudd'!$I$5:$I$224)</f>
        <v>#DIV/0!</v>
      </c>
      <c r="L111" s="173" t="e">
        <f t="shared" si="6"/>
        <v>#DIV/0!</v>
      </c>
      <c r="M111" s="147">
        <f t="shared" si="7"/>
        <v>0</v>
      </c>
      <c r="N111" s="32">
        <f>IFERROR(M111*'0. Oppsett'!$C$30,0)</f>
        <v>0</v>
      </c>
      <c r="O111" s="33">
        <v>0</v>
      </c>
      <c r="P111" s="33"/>
      <c r="Q111" s="33"/>
      <c r="R111" s="33"/>
      <c r="S111" s="33">
        <v>0</v>
      </c>
      <c r="T111" s="34">
        <v>0</v>
      </c>
      <c r="U111" s="35">
        <f t="shared" si="8"/>
        <v>0</v>
      </c>
    </row>
    <row r="112" spans="1:21" ht="15.75" thickBot="1" x14ac:dyDescent="0.3">
      <c r="A112" s="21">
        <v>108</v>
      </c>
      <c r="B112" s="150">
        <f>'X. Satser pensjonstilskudd'!B112</f>
        <v>0</v>
      </c>
      <c r="C112" s="18">
        <f>'X. Satser pensjonstilskudd'!C112</f>
        <v>0</v>
      </c>
      <c r="D112" s="18" t="str">
        <f>IFERROR(_xlfn.XLOOKUP($C112,factPensjon[Virksomhetsnr.],factPensjon[Forpliktelser]),"")</f>
        <v/>
      </c>
      <c r="E112" s="148">
        <f>SUMIFS(BasilRadata[Heltidsplasser
0-2],BasilRadata[År],'0. Oppsett'!$C$7-1,BasilRadata[1B. Organisasjonsnummer:],$C112)</f>
        <v>0</v>
      </c>
      <c r="F112" s="25">
        <f>'4. Selvkost og satser'!$B$54</f>
        <v>288170.9461329499</v>
      </c>
      <c r="G112" s="148">
        <f>SUMIFS(BasilRadata[Heltidsplasser
3-6],BasilRadata[År],'0. Oppsett'!$C$7-1,BasilRadata[1B. Organisasjonsnummer:],$C112)</f>
        <v>0</v>
      </c>
      <c r="H112" s="25">
        <f>'4. Selvkost og satser'!$B$55</f>
        <v>156604.23359926464</v>
      </c>
      <c r="I112" s="172">
        <f t="shared" si="5"/>
        <v>0</v>
      </c>
      <c r="J112" s="176">
        <f>SUMIFS(BasilRadata[8E. Oppgi antall årsverk barnehagen har pensjonsforpliktelser for:],BasilRadata[År],'0. Oppsett'!$C$7-1,BasilRadata[1B. Organisasjonsnummer:],'X. Utbetalingsmodul'!$C112)</f>
        <v>0</v>
      </c>
      <c r="K112" s="172" t="e">
        <f>_xlfn.XLOOKUP(C112,'X. Satser pensjonstilskudd'!$C$5:$C$224,'X. Satser pensjonstilskudd'!$I$5:$I$224)</f>
        <v>#DIV/0!</v>
      </c>
      <c r="L112" s="173" t="e">
        <f t="shared" si="6"/>
        <v>#DIV/0!</v>
      </c>
      <c r="M112" s="147">
        <f t="shared" si="7"/>
        <v>0</v>
      </c>
      <c r="N112" s="32">
        <f>IFERROR(M112*'0. Oppsett'!$C$30,0)</f>
        <v>0</v>
      </c>
      <c r="O112" s="33">
        <v>0</v>
      </c>
      <c r="P112" s="33"/>
      <c r="Q112" s="33"/>
      <c r="R112" s="33"/>
      <c r="S112" s="33">
        <v>0</v>
      </c>
      <c r="T112" s="34">
        <v>0</v>
      </c>
      <c r="U112" s="35">
        <f t="shared" si="8"/>
        <v>0</v>
      </c>
    </row>
    <row r="113" spans="1:21" ht="15.75" thickBot="1" x14ac:dyDescent="0.3">
      <c r="A113" s="17">
        <v>109</v>
      </c>
      <c r="B113" s="150">
        <f>'X. Satser pensjonstilskudd'!B113</f>
        <v>0</v>
      </c>
      <c r="C113" s="18">
        <f>'X. Satser pensjonstilskudd'!C113</f>
        <v>0</v>
      </c>
      <c r="D113" s="18" t="str">
        <f>IFERROR(_xlfn.XLOOKUP($C113,factPensjon[Virksomhetsnr.],factPensjon[Forpliktelser]),"")</f>
        <v/>
      </c>
      <c r="E113" s="148">
        <f>SUMIFS(BasilRadata[Heltidsplasser
0-2],BasilRadata[År],'0. Oppsett'!$C$7-1,BasilRadata[1B. Organisasjonsnummer:],$C113)</f>
        <v>0</v>
      </c>
      <c r="F113" s="25">
        <f>'4. Selvkost og satser'!$B$54</f>
        <v>288170.9461329499</v>
      </c>
      <c r="G113" s="148">
        <f>SUMIFS(BasilRadata[Heltidsplasser
3-6],BasilRadata[År],'0. Oppsett'!$C$7-1,BasilRadata[1B. Organisasjonsnummer:],$C113)</f>
        <v>0</v>
      </c>
      <c r="H113" s="25">
        <f>'4. Selvkost og satser'!$B$55</f>
        <v>156604.23359926464</v>
      </c>
      <c r="I113" s="172">
        <f t="shared" si="5"/>
        <v>0</v>
      </c>
      <c r="J113" s="176">
        <f>SUMIFS(BasilRadata[8E. Oppgi antall årsverk barnehagen har pensjonsforpliktelser for:],BasilRadata[År],'0. Oppsett'!$C$7-1,BasilRadata[1B. Organisasjonsnummer:],'X. Utbetalingsmodul'!$C113)</f>
        <v>0</v>
      </c>
      <c r="K113" s="172" t="e">
        <f>_xlfn.XLOOKUP(C113,'X. Satser pensjonstilskudd'!$C$5:$C$224,'X. Satser pensjonstilskudd'!$I$5:$I$224)</f>
        <v>#DIV/0!</v>
      </c>
      <c r="L113" s="173" t="e">
        <f t="shared" si="6"/>
        <v>#DIV/0!</v>
      </c>
      <c r="M113" s="147">
        <f t="shared" si="7"/>
        <v>0</v>
      </c>
      <c r="N113" s="32">
        <f>IFERROR(M113*'0. Oppsett'!$C$30,0)</f>
        <v>0</v>
      </c>
      <c r="O113" s="33">
        <v>0</v>
      </c>
      <c r="P113" s="33"/>
      <c r="Q113" s="33"/>
      <c r="R113" s="33"/>
      <c r="S113" s="33">
        <v>0</v>
      </c>
      <c r="T113" s="34">
        <v>0</v>
      </c>
      <c r="U113" s="35">
        <f t="shared" si="8"/>
        <v>0</v>
      </c>
    </row>
    <row r="114" spans="1:21" ht="15.75" thickBot="1" x14ac:dyDescent="0.3">
      <c r="A114" s="21">
        <v>110</v>
      </c>
      <c r="B114" s="150">
        <f>'X. Satser pensjonstilskudd'!B114</f>
        <v>0</v>
      </c>
      <c r="C114" s="18">
        <f>'X. Satser pensjonstilskudd'!C114</f>
        <v>0</v>
      </c>
      <c r="D114" s="18" t="str">
        <f>IFERROR(_xlfn.XLOOKUP($C114,factPensjon[Virksomhetsnr.],factPensjon[Forpliktelser]),"")</f>
        <v/>
      </c>
      <c r="E114" s="148">
        <f>SUMIFS(BasilRadata[Heltidsplasser
0-2],BasilRadata[År],'0. Oppsett'!$C$7-1,BasilRadata[1B. Organisasjonsnummer:],$C114)</f>
        <v>0</v>
      </c>
      <c r="F114" s="25">
        <f>'4. Selvkost og satser'!$B$54</f>
        <v>288170.9461329499</v>
      </c>
      <c r="G114" s="148">
        <f>SUMIFS(BasilRadata[Heltidsplasser
3-6],BasilRadata[År],'0. Oppsett'!$C$7-1,BasilRadata[1B. Organisasjonsnummer:],$C114)</f>
        <v>0</v>
      </c>
      <c r="H114" s="25">
        <f>'4. Selvkost og satser'!$B$55</f>
        <v>156604.23359926464</v>
      </c>
      <c r="I114" s="172">
        <f t="shared" si="5"/>
        <v>0</v>
      </c>
      <c r="J114" s="176">
        <f>SUMIFS(BasilRadata[8E. Oppgi antall årsverk barnehagen har pensjonsforpliktelser for:],BasilRadata[År],'0. Oppsett'!$C$7-1,BasilRadata[1B. Organisasjonsnummer:],'X. Utbetalingsmodul'!$C114)</f>
        <v>0</v>
      </c>
      <c r="K114" s="172" t="e">
        <f>_xlfn.XLOOKUP(C114,'X. Satser pensjonstilskudd'!$C$5:$C$224,'X. Satser pensjonstilskudd'!$I$5:$I$224)</f>
        <v>#DIV/0!</v>
      </c>
      <c r="L114" s="173" t="e">
        <f t="shared" si="6"/>
        <v>#DIV/0!</v>
      </c>
      <c r="M114" s="147">
        <f t="shared" si="7"/>
        <v>0</v>
      </c>
      <c r="N114" s="32">
        <f>IFERROR(M114*'0. Oppsett'!$C$30,0)</f>
        <v>0</v>
      </c>
      <c r="O114" s="33">
        <v>0</v>
      </c>
      <c r="P114" s="33"/>
      <c r="Q114" s="33"/>
      <c r="R114" s="33"/>
      <c r="S114" s="33">
        <v>0</v>
      </c>
      <c r="T114" s="34">
        <v>0</v>
      </c>
      <c r="U114" s="35">
        <f t="shared" si="8"/>
        <v>0</v>
      </c>
    </row>
    <row r="115" spans="1:21" ht="15.75" thickBot="1" x14ac:dyDescent="0.3">
      <c r="A115" s="17">
        <v>111</v>
      </c>
      <c r="B115" s="150">
        <f>'X. Satser pensjonstilskudd'!B115</f>
        <v>0</v>
      </c>
      <c r="C115" s="18">
        <f>'X. Satser pensjonstilskudd'!C115</f>
        <v>0</v>
      </c>
      <c r="D115" s="18" t="str">
        <f>IFERROR(_xlfn.XLOOKUP($C115,factPensjon[Virksomhetsnr.],factPensjon[Forpliktelser]),"")</f>
        <v/>
      </c>
      <c r="E115" s="148">
        <f>SUMIFS(BasilRadata[Heltidsplasser
0-2],BasilRadata[År],'0. Oppsett'!$C$7-1,BasilRadata[1B. Organisasjonsnummer:],$C115)</f>
        <v>0</v>
      </c>
      <c r="F115" s="25">
        <f>'4. Selvkost og satser'!$B$54</f>
        <v>288170.9461329499</v>
      </c>
      <c r="G115" s="148">
        <f>SUMIFS(BasilRadata[Heltidsplasser
3-6],BasilRadata[År],'0. Oppsett'!$C$7-1,BasilRadata[1B. Organisasjonsnummer:],$C115)</f>
        <v>0</v>
      </c>
      <c r="H115" s="25">
        <f>'4. Selvkost og satser'!$B$55</f>
        <v>156604.23359926464</v>
      </c>
      <c r="I115" s="172">
        <f t="shared" si="5"/>
        <v>0</v>
      </c>
      <c r="J115" s="176">
        <f>SUMIFS(BasilRadata[8E. Oppgi antall årsverk barnehagen har pensjonsforpliktelser for:],BasilRadata[År],'0. Oppsett'!$C$7-1,BasilRadata[1B. Organisasjonsnummer:],'X. Utbetalingsmodul'!$C115)</f>
        <v>0</v>
      </c>
      <c r="K115" s="172" t="e">
        <f>_xlfn.XLOOKUP(C115,'X. Satser pensjonstilskudd'!$C$5:$C$224,'X. Satser pensjonstilskudd'!$I$5:$I$224)</f>
        <v>#DIV/0!</v>
      </c>
      <c r="L115" s="173" t="e">
        <f t="shared" si="6"/>
        <v>#DIV/0!</v>
      </c>
      <c r="M115" s="147">
        <f t="shared" si="7"/>
        <v>0</v>
      </c>
      <c r="N115" s="32">
        <f>IFERROR(M115*'0. Oppsett'!$C$30,0)</f>
        <v>0</v>
      </c>
      <c r="O115" s="33">
        <v>0</v>
      </c>
      <c r="P115" s="33"/>
      <c r="Q115" s="33"/>
      <c r="R115" s="33"/>
      <c r="S115" s="33">
        <v>0</v>
      </c>
      <c r="T115" s="34">
        <v>0</v>
      </c>
      <c r="U115" s="35">
        <f t="shared" si="8"/>
        <v>0</v>
      </c>
    </row>
    <row r="116" spans="1:21" ht="15.75" thickBot="1" x14ac:dyDescent="0.3">
      <c r="A116" s="21">
        <v>112</v>
      </c>
      <c r="B116" s="150">
        <f>'X. Satser pensjonstilskudd'!B116</f>
        <v>0</v>
      </c>
      <c r="C116" s="18">
        <f>'X. Satser pensjonstilskudd'!C116</f>
        <v>0</v>
      </c>
      <c r="D116" s="18" t="str">
        <f>IFERROR(_xlfn.XLOOKUP($C116,factPensjon[Virksomhetsnr.],factPensjon[Forpliktelser]),"")</f>
        <v/>
      </c>
      <c r="E116" s="148">
        <f>SUMIFS(BasilRadata[Heltidsplasser
0-2],BasilRadata[År],'0. Oppsett'!$C$7-1,BasilRadata[1B. Organisasjonsnummer:],$C116)</f>
        <v>0</v>
      </c>
      <c r="F116" s="25">
        <f>'4. Selvkost og satser'!$B$54</f>
        <v>288170.9461329499</v>
      </c>
      <c r="G116" s="148">
        <f>SUMIFS(BasilRadata[Heltidsplasser
3-6],BasilRadata[År],'0. Oppsett'!$C$7-1,BasilRadata[1B. Organisasjonsnummer:],$C116)</f>
        <v>0</v>
      </c>
      <c r="H116" s="25">
        <f>'4. Selvkost og satser'!$B$55</f>
        <v>156604.23359926464</v>
      </c>
      <c r="I116" s="172">
        <f t="shared" si="5"/>
        <v>0</v>
      </c>
      <c r="J116" s="176">
        <f>SUMIFS(BasilRadata[8E. Oppgi antall årsverk barnehagen har pensjonsforpliktelser for:],BasilRadata[År],'0. Oppsett'!$C$7-1,BasilRadata[1B. Organisasjonsnummer:],'X. Utbetalingsmodul'!$C116)</f>
        <v>0</v>
      </c>
      <c r="K116" s="172" t="e">
        <f>_xlfn.XLOOKUP(C116,'X. Satser pensjonstilskudd'!$C$5:$C$224,'X. Satser pensjonstilskudd'!$I$5:$I$224)</f>
        <v>#DIV/0!</v>
      </c>
      <c r="L116" s="173" t="e">
        <f t="shared" si="6"/>
        <v>#DIV/0!</v>
      </c>
      <c r="M116" s="147">
        <f t="shared" si="7"/>
        <v>0</v>
      </c>
      <c r="N116" s="32">
        <f>IFERROR(M116*'0. Oppsett'!$C$30,0)</f>
        <v>0</v>
      </c>
      <c r="O116" s="33">
        <v>0</v>
      </c>
      <c r="P116" s="33"/>
      <c r="Q116" s="33"/>
      <c r="R116" s="33"/>
      <c r="S116" s="33">
        <v>0</v>
      </c>
      <c r="T116" s="34">
        <v>0</v>
      </c>
      <c r="U116" s="35">
        <f t="shared" si="8"/>
        <v>0</v>
      </c>
    </row>
    <row r="117" spans="1:21" ht="15.75" thickBot="1" x14ac:dyDescent="0.3">
      <c r="A117" s="17">
        <v>113</v>
      </c>
      <c r="B117" s="150">
        <f>'X. Satser pensjonstilskudd'!B117</f>
        <v>0</v>
      </c>
      <c r="C117" s="18">
        <f>'X. Satser pensjonstilskudd'!C117</f>
        <v>0</v>
      </c>
      <c r="D117" s="18" t="str">
        <f>IFERROR(_xlfn.XLOOKUP($C117,factPensjon[Virksomhetsnr.],factPensjon[Forpliktelser]),"")</f>
        <v/>
      </c>
      <c r="E117" s="148">
        <f>SUMIFS(BasilRadata[Heltidsplasser
0-2],BasilRadata[År],'0. Oppsett'!$C$7-1,BasilRadata[1B. Organisasjonsnummer:],$C117)</f>
        <v>0</v>
      </c>
      <c r="F117" s="25">
        <f>'4. Selvkost og satser'!$B$54</f>
        <v>288170.9461329499</v>
      </c>
      <c r="G117" s="148">
        <f>SUMIFS(BasilRadata[Heltidsplasser
3-6],BasilRadata[År],'0. Oppsett'!$C$7-1,BasilRadata[1B. Organisasjonsnummer:],$C117)</f>
        <v>0</v>
      </c>
      <c r="H117" s="25">
        <f>'4. Selvkost og satser'!$B$55</f>
        <v>156604.23359926464</v>
      </c>
      <c r="I117" s="172">
        <f t="shared" si="5"/>
        <v>0</v>
      </c>
      <c r="J117" s="176">
        <f>SUMIFS(BasilRadata[8E. Oppgi antall årsverk barnehagen har pensjonsforpliktelser for:],BasilRadata[År],'0. Oppsett'!$C$7-1,BasilRadata[1B. Organisasjonsnummer:],'X. Utbetalingsmodul'!$C117)</f>
        <v>0</v>
      </c>
      <c r="K117" s="172" t="e">
        <f>_xlfn.XLOOKUP(C117,'X. Satser pensjonstilskudd'!$C$5:$C$224,'X. Satser pensjonstilskudd'!$I$5:$I$224)</f>
        <v>#DIV/0!</v>
      </c>
      <c r="L117" s="173" t="e">
        <f t="shared" si="6"/>
        <v>#DIV/0!</v>
      </c>
      <c r="M117" s="147">
        <f t="shared" si="7"/>
        <v>0</v>
      </c>
      <c r="N117" s="32">
        <f>IFERROR(M117*'0. Oppsett'!$C$30,0)</f>
        <v>0</v>
      </c>
      <c r="O117" s="33">
        <v>0</v>
      </c>
      <c r="P117" s="33"/>
      <c r="Q117" s="33"/>
      <c r="R117" s="33"/>
      <c r="S117" s="33">
        <v>0</v>
      </c>
      <c r="T117" s="34">
        <v>0</v>
      </c>
      <c r="U117" s="35">
        <f t="shared" si="8"/>
        <v>0</v>
      </c>
    </row>
    <row r="118" spans="1:21" ht="15.75" thickBot="1" x14ac:dyDescent="0.3">
      <c r="A118" s="21">
        <v>114</v>
      </c>
      <c r="B118" s="150">
        <f>'X. Satser pensjonstilskudd'!B118</f>
        <v>0</v>
      </c>
      <c r="C118" s="18">
        <f>'X. Satser pensjonstilskudd'!C118</f>
        <v>0</v>
      </c>
      <c r="D118" s="18" t="str">
        <f>IFERROR(_xlfn.XLOOKUP($C118,factPensjon[Virksomhetsnr.],factPensjon[Forpliktelser]),"")</f>
        <v/>
      </c>
      <c r="E118" s="148">
        <f>SUMIFS(BasilRadata[Heltidsplasser
0-2],BasilRadata[År],'0. Oppsett'!$C$7-1,BasilRadata[1B. Organisasjonsnummer:],$C118)</f>
        <v>0</v>
      </c>
      <c r="F118" s="25">
        <f>'4. Selvkost og satser'!$B$54</f>
        <v>288170.9461329499</v>
      </c>
      <c r="G118" s="148">
        <f>SUMIFS(BasilRadata[Heltidsplasser
3-6],BasilRadata[År],'0. Oppsett'!$C$7-1,BasilRadata[1B. Organisasjonsnummer:],$C118)</f>
        <v>0</v>
      </c>
      <c r="H118" s="25">
        <f>'4. Selvkost og satser'!$B$55</f>
        <v>156604.23359926464</v>
      </c>
      <c r="I118" s="172">
        <f t="shared" si="5"/>
        <v>0</v>
      </c>
      <c r="J118" s="176">
        <f>SUMIFS(BasilRadata[8E. Oppgi antall årsverk barnehagen har pensjonsforpliktelser for:],BasilRadata[År],'0. Oppsett'!$C$7-1,BasilRadata[1B. Organisasjonsnummer:],'X. Utbetalingsmodul'!$C118)</f>
        <v>0</v>
      </c>
      <c r="K118" s="172" t="e">
        <f>_xlfn.XLOOKUP(C118,'X. Satser pensjonstilskudd'!$C$5:$C$224,'X. Satser pensjonstilskudd'!$I$5:$I$224)</f>
        <v>#DIV/0!</v>
      </c>
      <c r="L118" s="173" t="e">
        <f t="shared" si="6"/>
        <v>#DIV/0!</v>
      </c>
      <c r="M118" s="147">
        <f t="shared" si="7"/>
        <v>0</v>
      </c>
      <c r="N118" s="32">
        <f>IFERROR(M118*'0. Oppsett'!$C$30,0)</f>
        <v>0</v>
      </c>
      <c r="O118" s="33">
        <v>0</v>
      </c>
      <c r="P118" s="33"/>
      <c r="Q118" s="33"/>
      <c r="R118" s="33"/>
      <c r="S118" s="33">
        <v>0</v>
      </c>
      <c r="T118" s="34">
        <v>0</v>
      </c>
      <c r="U118" s="35">
        <f t="shared" si="8"/>
        <v>0</v>
      </c>
    </row>
    <row r="119" spans="1:21" ht="15.75" thickBot="1" x14ac:dyDescent="0.3">
      <c r="A119" s="17">
        <v>115</v>
      </c>
      <c r="B119" s="150">
        <f>'X. Satser pensjonstilskudd'!B119</f>
        <v>0</v>
      </c>
      <c r="C119" s="18">
        <f>'X. Satser pensjonstilskudd'!C119</f>
        <v>0</v>
      </c>
      <c r="D119" s="18" t="str">
        <f>IFERROR(_xlfn.XLOOKUP($C119,factPensjon[Virksomhetsnr.],factPensjon[Forpliktelser]),"")</f>
        <v/>
      </c>
      <c r="E119" s="148">
        <f>SUMIFS(BasilRadata[Heltidsplasser
0-2],BasilRadata[År],'0. Oppsett'!$C$7-1,BasilRadata[1B. Organisasjonsnummer:],$C119)</f>
        <v>0</v>
      </c>
      <c r="F119" s="25">
        <f>'4. Selvkost og satser'!$B$54</f>
        <v>288170.9461329499</v>
      </c>
      <c r="G119" s="148">
        <f>SUMIFS(BasilRadata[Heltidsplasser
3-6],BasilRadata[År],'0. Oppsett'!$C$7-1,BasilRadata[1B. Organisasjonsnummer:],$C119)</f>
        <v>0</v>
      </c>
      <c r="H119" s="25">
        <f>'4. Selvkost og satser'!$B$55</f>
        <v>156604.23359926464</v>
      </c>
      <c r="I119" s="172">
        <f t="shared" si="5"/>
        <v>0</v>
      </c>
      <c r="J119" s="176">
        <f>SUMIFS(BasilRadata[8E. Oppgi antall årsverk barnehagen har pensjonsforpliktelser for:],BasilRadata[År],'0. Oppsett'!$C$7-1,BasilRadata[1B. Organisasjonsnummer:],'X. Utbetalingsmodul'!$C119)</f>
        <v>0</v>
      </c>
      <c r="K119" s="172" t="e">
        <f>_xlfn.XLOOKUP(C119,'X. Satser pensjonstilskudd'!$C$5:$C$224,'X. Satser pensjonstilskudd'!$I$5:$I$224)</f>
        <v>#DIV/0!</v>
      </c>
      <c r="L119" s="173" t="e">
        <f t="shared" si="6"/>
        <v>#DIV/0!</v>
      </c>
      <c r="M119" s="147">
        <f t="shared" si="7"/>
        <v>0</v>
      </c>
      <c r="N119" s="32">
        <f>IFERROR(M119*'0. Oppsett'!$C$30,0)</f>
        <v>0</v>
      </c>
      <c r="O119" s="33">
        <v>0</v>
      </c>
      <c r="P119" s="33"/>
      <c r="Q119" s="33"/>
      <c r="R119" s="33"/>
      <c r="S119" s="33">
        <v>0</v>
      </c>
      <c r="T119" s="34">
        <v>0</v>
      </c>
      <c r="U119" s="35">
        <f t="shared" si="8"/>
        <v>0</v>
      </c>
    </row>
    <row r="120" spans="1:21" ht="15.75" thickBot="1" x14ac:dyDescent="0.3">
      <c r="A120" s="21">
        <v>116</v>
      </c>
      <c r="B120" s="150">
        <f>'X. Satser pensjonstilskudd'!B120</f>
        <v>0</v>
      </c>
      <c r="C120" s="18">
        <f>'X. Satser pensjonstilskudd'!C120</f>
        <v>0</v>
      </c>
      <c r="D120" s="18" t="str">
        <f>IFERROR(_xlfn.XLOOKUP($C120,factPensjon[Virksomhetsnr.],factPensjon[Forpliktelser]),"")</f>
        <v/>
      </c>
      <c r="E120" s="148">
        <f>SUMIFS(BasilRadata[Heltidsplasser
0-2],BasilRadata[År],'0. Oppsett'!$C$7-1,BasilRadata[1B. Organisasjonsnummer:],$C120)</f>
        <v>0</v>
      </c>
      <c r="F120" s="25">
        <f>'4. Selvkost og satser'!$B$54</f>
        <v>288170.9461329499</v>
      </c>
      <c r="G120" s="148">
        <f>SUMIFS(BasilRadata[Heltidsplasser
3-6],BasilRadata[År],'0. Oppsett'!$C$7-1,BasilRadata[1B. Organisasjonsnummer:],$C120)</f>
        <v>0</v>
      </c>
      <c r="H120" s="25">
        <f>'4. Selvkost og satser'!$B$55</f>
        <v>156604.23359926464</v>
      </c>
      <c r="I120" s="172">
        <f t="shared" si="5"/>
        <v>0</v>
      </c>
      <c r="J120" s="176">
        <f>SUMIFS(BasilRadata[8E. Oppgi antall årsverk barnehagen har pensjonsforpliktelser for:],BasilRadata[År],'0. Oppsett'!$C$7-1,BasilRadata[1B. Organisasjonsnummer:],'X. Utbetalingsmodul'!$C120)</f>
        <v>0</v>
      </c>
      <c r="K120" s="172" t="e">
        <f>_xlfn.XLOOKUP(C120,'X. Satser pensjonstilskudd'!$C$5:$C$224,'X. Satser pensjonstilskudd'!$I$5:$I$224)</f>
        <v>#DIV/0!</v>
      </c>
      <c r="L120" s="173" t="e">
        <f t="shared" si="6"/>
        <v>#DIV/0!</v>
      </c>
      <c r="M120" s="147">
        <f t="shared" si="7"/>
        <v>0</v>
      </c>
      <c r="N120" s="32">
        <f>IFERROR(M120*'0. Oppsett'!$C$30,0)</f>
        <v>0</v>
      </c>
      <c r="O120" s="33">
        <v>0</v>
      </c>
      <c r="P120" s="33"/>
      <c r="Q120" s="33"/>
      <c r="R120" s="33"/>
      <c r="S120" s="33">
        <v>0</v>
      </c>
      <c r="T120" s="34">
        <v>0</v>
      </c>
      <c r="U120" s="35">
        <f t="shared" si="8"/>
        <v>0</v>
      </c>
    </row>
    <row r="121" spans="1:21" ht="15.75" thickBot="1" x14ac:dyDescent="0.3">
      <c r="A121" s="17">
        <v>117</v>
      </c>
      <c r="B121" s="150">
        <f>'X. Satser pensjonstilskudd'!B121</f>
        <v>0</v>
      </c>
      <c r="C121" s="18">
        <f>'X. Satser pensjonstilskudd'!C121</f>
        <v>0</v>
      </c>
      <c r="D121" s="18" t="str">
        <f>IFERROR(_xlfn.XLOOKUP($C121,factPensjon[Virksomhetsnr.],factPensjon[Forpliktelser]),"")</f>
        <v/>
      </c>
      <c r="E121" s="148">
        <f>SUMIFS(BasilRadata[Heltidsplasser
0-2],BasilRadata[År],'0. Oppsett'!$C$7-1,BasilRadata[1B. Organisasjonsnummer:],$C121)</f>
        <v>0</v>
      </c>
      <c r="F121" s="25">
        <f>'4. Selvkost og satser'!$B$54</f>
        <v>288170.9461329499</v>
      </c>
      <c r="G121" s="148">
        <f>SUMIFS(BasilRadata[Heltidsplasser
3-6],BasilRadata[År],'0. Oppsett'!$C$7-1,BasilRadata[1B. Organisasjonsnummer:],$C121)</f>
        <v>0</v>
      </c>
      <c r="H121" s="25">
        <f>'4. Selvkost og satser'!$B$55</f>
        <v>156604.23359926464</v>
      </c>
      <c r="I121" s="172">
        <f t="shared" si="5"/>
        <v>0</v>
      </c>
      <c r="J121" s="176">
        <f>SUMIFS(BasilRadata[8E. Oppgi antall årsverk barnehagen har pensjonsforpliktelser for:],BasilRadata[År],'0. Oppsett'!$C$7-1,BasilRadata[1B. Organisasjonsnummer:],'X. Utbetalingsmodul'!$C121)</f>
        <v>0</v>
      </c>
      <c r="K121" s="172" t="e">
        <f>_xlfn.XLOOKUP(C121,'X. Satser pensjonstilskudd'!$C$5:$C$224,'X. Satser pensjonstilskudd'!$I$5:$I$224)</f>
        <v>#DIV/0!</v>
      </c>
      <c r="L121" s="173" t="e">
        <f t="shared" si="6"/>
        <v>#DIV/0!</v>
      </c>
      <c r="M121" s="147">
        <f t="shared" si="7"/>
        <v>0</v>
      </c>
      <c r="N121" s="32">
        <f>IFERROR(M121*'0. Oppsett'!$C$30,0)</f>
        <v>0</v>
      </c>
      <c r="O121" s="33">
        <v>0</v>
      </c>
      <c r="P121" s="33"/>
      <c r="Q121" s="33"/>
      <c r="R121" s="33"/>
      <c r="S121" s="33">
        <v>0</v>
      </c>
      <c r="T121" s="34">
        <v>0</v>
      </c>
      <c r="U121" s="35">
        <f t="shared" si="8"/>
        <v>0</v>
      </c>
    </row>
    <row r="122" spans="1:21" ht="15.75" thickBot="1" x14ac:dyDescent="0.3">
      <c r="A122" s="21">
        <v>118</v>
      </c>
      <c r="B122" s="150">
        <f>'X. Satser pensjonstilskudd'!B122</f>
        <v>0</v>
      </c>
      <c r="C122" s="18">
        <f>'X. Satser pensjonstilskudd'!C122</f>
        <v>0</v>
      </c>
      <c r="D122" s="18" t="str">
        <f>IFERROR(_xlfn.XLOOKUP($C122,factPensjon[Virksomhetsnr.],factPensjon[Forpliktelser]),"")</f>
        <v/>
      </c>
      <c r="E122" s="148">
        <f>SUMIFS(BasilRadata[Heltidsplasser
0-2],BasilRadata[År],'0. Oppsett'!$C$7-1,BasilRadata[1B. Organisasjonsnummer:],$C122)</f>
        <v>0</v>
      </c>
      <c r="F122" s="25">
        <f>'4. Selvkost og satser'!$B$54</f>
        <v>288170.9461329499</v>
      </c>
      <c r="G122" s="148">
        <f>SUMIFS(BasilRadata[Heltidsplasser
3-6],BasilRadata[År],'0. Oppsett'!$C$7-1,BasilRadata[1B. Organisasjonsnummer:],$C122)</f>
        <v>0</v>
      </c>
      <c r="H122" s="25">
        <f>'4. Selvkost og satser'!$B$55</f>
        <v>156604.23359926464</v>
      </c>
      <c r="I122" s="172">
        <f t="shared" si="5"/>
        <v>0</v>
      </c>
      <c r="J122" s="176">
        <f>SUMIFS(BasilRadata[8E. Oppgi antall årsverk barnehagen har pensjonsforpliktelser for:],BasilRadata[År],'0. Oppsett'!$C$7-1,BasilRadata[1B. Organisasjonsnummer:],'X. Utbetalingsmodul'!$C122)</f>
        <v>0</v>
      </c>
      <c r="K122" s="172" t="e">
        <f>_xlfn.XLOOKUP(C122,'X. Satser pensjonstilskudd'!$C$5:$C$224,'X. Satser pensjonstilskudd'!$I$5:$I$224)</f>
        <v>#DIV/0!</v>
      </c>
      <c r="L122" s="173" t="e">
        <f t="shared" si="6"/>
        <v>#DIV/0!</v>
      </c>
      <c r="M122" s="147">
        <f t="shared" si="7"/>
        <v>0</v>
      </c>
      <c r="N122" s="32">
        <f>IFERROR(M122*'0. Oppsett'!$C$30,0)</f>
        <v>0</v>
      </c>
      <c r="O122" s="33">
        <v>0</v>
      </c>
      <c r="P122" s="33"/>
      <c r="Q122" s="33"/>
      <c r="R122" s="33"/>
      <c r="S122" s="33">
        <v>0</v>
      </c>
      <c r="T122" s="34">
        <v>0</v>
      </c>
      <c r="U122" s="35">
        <f t="shared" si="8"/>
        <v>0</v>
      </c>
    </row>
    <row r="123" spans="1:21" ht="15.75" thickBot="1" x14ac:dyDescent="0.3">
      <c r="A123" s="17">
        <v>119</v>
      </c>
      <c r="B123" s="150">
        <f>'X. Satser pensjonstilskudd'!B123</f>
        <v>0</v>
      </c>
      <c r="C123" s="18">
        <f>'X. Satser pensjonstilskudd'!C123</f>
        <v>0</v>
      </c>
      <c r="D123" s="18" t="str">
        <f>IFERROR(_xlfn.XLOOKUP($C123,factPensjon[Virksomhetsnr.],factPensjon[Forpliktelser]),"")</f>
        <v/>
      </c>
      <c r="E123" s="148">
        <f>SUMIFS(BasilRadata[Heltidsplasser
0-2],BasilRadata[År],'0. Oppsett'!$C$7-1,BasilRadata[1B. Organisasjonsnummer:],$C123)</f>
        <v>0</v>
      </c>
      <c r="F123" s="25">
        <f>'4. Selvkost og satser'!$B$54</f>
        <v>288170.9461329499</v>
      </c>
      <c r="G123" s="148">
        <f>SUMIFS(BasilRadata[Heltidsplasser
3-6],BasilRadata[År],'0. Oppsett'!$C$7-1,BasilRadata[1B. Organisasjonsnummer:],$C123)</f>
        <v>0</v>
      </c>
      <c r="H123" s="25">
        <f>'4. Selvkost og satser'!$B$55</f>
        <v>156604.23359926464</v>
      </c>
      <c r="I123" s="172">
        <f t="shared" si="5"/>
        <v>0</v>
      </c>
      <c r="J123" s="176">
        <f>SUMIFS(BasilRadata[8E. Oppgi antall årsverk barnehagen har pensjonsforpliktelser for:],BasilRadata[År],'0. Oppsett'!$C$7-1,BasilRadata[1B. Organisasjonsnummer:],'X. Utbetalingsmodul'!$C123)</f>
        <v>0</v>
      </c>
      <c r="K123" s="172" t="e">
        <f>_xlfn.XLOOKUP(C123,'X. Satser pensjonstilskudd'!$C$5:$C$224,'X. Satser pensjonstilskudd'!$I$5:$I$224)</f>
        <v>#DIV/0!</v>
      </c>
      <c r="L123" s="173" t="e">
        <f t="shared" si="6"/>
        <v>#DIV/0!</v>
      </c>
      <c r="M123" s="147">
        <f t="shared" si="7"/>
        <v>0</v>
      </c>
      <c r="N123" s="32">
        <f>IFERROR(M123*'0. Oppsett'!$C$30,0)</f>
        <v>0</v>
      </c>
      <c r="O123" s="33">
        <v>0</v>
      </c>
      <c r="P123" s="33"/>
      <c r="Q123" s="33"/>
      <c r="R123" s="33"/>
      <c r="S123" s="33">
        <v>0</v>
      </c>
      <c r="T123" s="34">
        <v>0</v>
      </c>
      <c r="U123" s="35">
        <f t="shared" si="8"/>
        <v>0</v>
      </c>
    </row>
    <row r="124" spans="1:21" ht="15.75" thickBot="1" x14ac:dyDescent="0.3">
      <c r="A124" s="21">
        <v>120</v>
      </c>
      <c r="B124" s="150">
        <f>'X. Satser pensjonstilskudd'!B124</f>
        <v>0</v>
      </c>
      <c r="C124" s="18">
        <f>'X. Satser pensjonstilskudd'!C124</f>
        <v>0</v>
      </c>
      <c r="D124" s="18" t="str">
        <f>IFERROR(_xlfn.XLOOKUP($C124,factPensjon[Virksomhetsnr.],factPensjon[Forpliktelser]),"")</f>
        <v/>
      </c>
      <c r="E124" s="148">
        <f>SUMIFS(BasilRadata[Heltidsplasser
0-2],BasilRadata[År],'0. Oppsett'!$C$7-1,BasilRadata[1B. Organisasjonsnummer:],$C124)</f>
        <v>0</v>
      </c>
      <c r="F124" s="25">
        <f>'4. Selvkost og satser'!$B$54</f>
        <v>288170.9461329499</v>
      </c>
      <c r="G124" s="148">
        <f>SUMIFS(BasilRadata[Heltidsplasser
3-6],BasilRadata[År],'0. Oppsett'!$C$7-1,BasilRadata[1B. Organisasjonsnummer:],$C124)</f>
        <v>0</v>
      </c>
      <c r="H124" s="25">
        <f>'4. Selvkost og satser'!$B$55</f>
        <v>156604.23359926464</v>
      </c>
      <c r="I124" s="172">
        <f t="shared" si="5"/>
        <v>0</v>
      </c>
      <c r="J124" s="176">
        <f>SUMIFS(BasilRadata[8E. Oppgi antall årsverk barnehagen har pensjonsforpliktelser for:],BasilRadata[År],'0. Oppsett'!$C$7-1,BasilRadata[1B. Organisasjonsnummer:],'X. Utbetalingsmodul'!$C124)</f>
        <v>0</v>
      </c>
      <c r="K124" s="172" t="e">
        <f>_xlfn.XLOOKUP(C124,'X. Satser pensjonstilskudd'!$C$5:$C$224,'X. Satser pensjonstilskudd'!$I$5:$I$224)</f>
        <v>#DIV/0!</v>
      </c>
      <c r="L124" s="173" t="e">
        <f t="shared" si="6"/>
        <v>#DIV/0!</v>
      </c>
      <c r="M124" s="147">
        <f t="shared" si="7"/>
        <v>0</v>
      </c>
      <c r="N124" s="32">
        <f>IFERROR(M124*'0. Oppsett'!$C$30,0)</f>
        <v>0</v>
      </c>
      <c r="O124" s="33">
        <v>0</v>
      </c>
      <c r="P124" s="33"/>
      <c r="Q124" s="33"/>
      <c r="R124" s="33"/>
      <c r="S124" s="33">
        <v>0</v>
      </c>
      <c r="T124" s="34">
        <v>0</v>
      </c>
      <c r="U124" s="35">
        <f t="shared" si="8"/>
        <v>0</v>
      </c>
    </row>
    <row r="125" spans="1:21" ht="15.75" thickBot="1" x14ac:dyDescent="0.3">
      <c r="A125" s="17">
        <v>121</v>
      </c>
      <c r="B125" s="150">
        <f>'X. Satser pensjonstilskudd'!B125</f>
        <v>0</v>
      </c>
      <c r="C125" s="18">
        <f>'X. Satser pensjonstilskudd'!C125</f>
        <v>0</v>
      </c>
      <c r="D125" s="18" t="str">
        <f>IFERROR(_xlfn.XLOOKUP($C125,factPensjon[Virksomhetsnr.],factPensjon[Forpliktelser]),"")</f>
        <v/>
      </c>
      <c r="E125" s="148">
        <f>SUMIFS(BasilRadata[Heltidsplasser
0-2],BasilRadata[År],'0. Oppsett'!$C$7-1,BasilRadata[1B. Organisasjonsnummer:],$C125)</f>
        <v>0</v>
      </c>
      <c r="F125" s="25">
        <f>'4. Selvkost og satser'!$B$54</f>
        <v>288170.9461329499</v>
      </c>
      <c r="G125" s="148">
        <f>SUMIFS(BasilRadata[Heltidsplasser
3-6],BasilRadata[År],'0. Oppsett'!$C$7-1,BasilRadata[1B. Organisasjonsnummer:],$C125)</f>
        <v>0</v>
      </c>
      <c r="H125" s="25">
        <f>'4. Selvkost og satser'!$B$55</f>
        <v>156604.23359926464</v>
      </c>
      <c r="I125" s="172">
        <f t="shared" si="5"/>
        <v>0</v>
      </c>
      <c r="J125" s="176">
        <f>SUMIFS(BasilRadata[8E. Oppgi antall årsverk barnehagen har pensjonsforpliktelser for:],BasilRadata[År],'0. Oppsett'!$C$7-1,BasilRadata[1B. Organisasjonsnummer:],'X. Utbetalingsmodul'!$C125)</f>
        <v>0</v>
      </c>
      <c r="K125" s="172" t="e">
        <f>_xlfn.XLOOKUP(C125,'X. Satser pensjonstilskudd'!$C$5:$C$224,'X. Satser pensjonstilskudd'!$I$5:$I$224)</f>
        <v>#DIV/0!</v>
      </c>
      <c r="L125" s="173" t="e">
        <f t="shared" si="6"/>
        <v>#DIV/0!</v>
      </c>
      <c r="M125" s="147">
        <f t="shared" si="7"/>
        <v>0</v>
      </c>
      <c r="N125" s="32">
        <f>IFERROR(M125*'0. Oppsett'!$C$30,0)</f>
        <v>0</v>
      </c>
      <c r="O125" s="33">
        <v>0</v>
      </c>
      <c r="P125" s="33"/>
      <c r="Q125" s="33"/>
      <c r="R125" s="33"/>
      <c r="S125" s="33">
        <v>0</v>
      </c>
      <c r="T125" s="34">
        <v>0</v>
      </c>
      <c r="U125" s="35">
        <f t="shared" si="8"/>
        <v>0</v>
      </c>
    </row>
    <row r="126" spans="1:21" ht="15.75" thickBot="1" x14ac:dyDescent="0.3">
      <c r="A126" s="21">
        <v>122</v>
      </c>
      <c r="B126" s="150">
        <f>'X. Satser pensjonstilskudd'!B126</f>
        <v>0</v>
      </c>
      <c r="C126" s="18">
        <f>'X. Satser pensjonstilskudd'!C126</f>
        <v>0</v>
      </c>
      <c r="D126" s="18" t="str">
        <f>IFERROR(_xlfn.XLOOKUP($C126,factPensjon[Virksomhetsnr.],factPensjon[Forpliktelser]),"")</f>
        <v/>
      </c>
      <c r="E126" s="148">
        <f>SUMIFS(BasilRadata[Heltidsplasser
0-2],BasilRadata[År],'0. Oppsett'!$C$7-1,BasilRadata[1B. Organisasjonsnummer:],$C126)</f>
        <v>0</v>
      </c>
      <c r="F126" s="25">
        <f>'4. Selvkost og satser'!$B$54</f>
        <v>288170.9461329499</v>
      </c>
      <c r="G126" s="148">
        <f>SUMIFS(BasilRadata[Heltidsplasser
3-6],BasilRadata[År],'0. Oppsett'!$C$7-1,BasilRadata[1B. Organisasjonsnummer:],$C126)</f>
        <v>0</v>
      </c>
      <c r="H126" s="25">
        <f>'4. Selvkost og satser'!$B$55</f>
        <v>156604.23359926464</v>
      </c>
      <c r="I126" s="172">
        <f t="shared" si="5"/>
        <v>0</v>
      </c>
      <c r="J126" s="176">
        <f>SUMIFS(BasilRadata[8E. Oppgi antall årsverk barnehagen har pensjonsforpliktelser for:],BasilRadata[År],'0. Oppsett'!$C$7-1,BasilRadata[1B. Organisasjonsnummer:],'X. Utbetalingsmodul'!$C126)</f>
        <v>0</v>
      </c>
      <c r="K126" s="172" t="e">
        <f>_xlfn.XLOOKUP(C126,'X. Satser pensjonstilskudd'!$C$5:$C$224,'X. Satser pensjonstilskudd'!$I$5:$I$224)</f>
        <v>#DIV/0!</v>
      </c>
      <c r="L126" s="173" t="e">
        <f t="shared" si="6"/>
        <v>#DIV/0!</v>
      </c>
      <c r="M126" s="147">
        <f t="shared" si="7"/>
        <v>0</v>
      </c>
      <c r="N126" s="32">
        <f>IFERROR(M126*'0. Oppsett'!$C$30,0)</f>
        <v>0</v>
      </c>
      <c r="O126" s="33">
        <v>0</v>
      </c>
      <c r="P126" s="33"/>
      <c r="Q126" s="33"/>
      <c r="R126" s="33"/>
      <c r="S126" s="33">
        <v>0</v>
      </c>
      <c r="T126" s="34">
        <v>0</v>
      </c>
      <c r="U126" s="35">
        <f t="shared" si="8"/>
        <v>0</v>
      </c>
    </row>
    <row r="127" spans="1:21" ht="15.75" thickBot="1" x14ac:dyDescent="0.3">
      <c r="A127" s="17">
        <v>123</v>
      </c>
      <c r="B127" s="150">
        <f>'X. Satser pensjonstilskudd'!B127</f>
        <v>0</v>
      </c>
      <c r="C127" s="18">
        <f>'X. Satser pensjonstilskudd'!C127</f>
        <v>0</v>
      </c>
      <c r="D127" s="18" t="str">
        <f>IFERROR(_xlfn.XLOOKUP($C127,factPensjon[Virksomhetsnr.],factPensjon[Forpliktelser]),"")</f>
        <v/>
      </c>
      <c r="E127" s="148">
        <f>SUMIFS(BasilRadata[Heltidsplasser
0-2],BasilRadata[År],'0. Oppsett'!$C$7-1,BasilRadata[1B. Organisasjonsnummer:],$C127)</f>
        <v>0</v>
      </c>
      <c r="F127" s="25">
        <f>'4. Selvkost og satser'!$B$54</f>
        <v>288170.9461329499</v>
      </c>
      <c r="G127" s="148">
        <f>SUMIFS(BasilRadata[Heltidsplasser
3-6],BasilRadata[År],'0. Oppsett'!$C$7-1,BasilRadata[1B. Organisasjonsnummer:],$C127)</f>
        <v>0</v>
      </c>
      <c r="H127" s="25">
        <f>'4. Selvkost og satser'!$B$55</f>
        <v>156604.23359926464</v>
      </c>
      <c r="I127" s="172">
        <f t="shared" si="5"/>
        <v>0</v>
      </c>
      <c r="J127" s="176">
        <f>SUMIFS(BasilRadata[8E. Oppgi antall årsverk barnehagen har pensjonsforpliktelser for:],BasilRadata[År],'0. Oppsett'!$C$7-1,BasilRadata[1B. Organisasjonsnummer:],'X. Utbetalingsmodul'!$C127)</f>
        <v>0</v>
      </c>
      <c r="K127" s="172" t="e">
        <f>_xlfn.XLOOKUP(C127,'X. Satser pensjonstilskudd'!$C$5:$C$224,'X. Satser pensjonstilskudd'!$I$5:$I$224)</f>
        <v>#DIV/0!</v>
      </c>
      <c r="L127" s="173" t="e">
        <f t="shared" si="6"/>
        <v>#DIV/0!</v>
      </c>
      <c r="M127" s="147">
        <f t="shared" si="7"/>
        <v>0</v>
      </c>
      <c r="N127" s="32">
        <f>IFERROR(M127*'0. Oppsett'!$C$30,0)</f>
        <v>0</v>
      </c>
      <c r="O127" s="33">
        <v>0</v>
      </c>
      <c r="P127" s="33"/>
      <c r="Q127" s="33"/>
      <c r="R127" s="33"/>
      <c r="S127" s="33">
        <v>0</v>
      </c>
      <c r="T127" s="34">
        <v>0</v>
      </c>
      <c r="U127" s="35">
        <f t="shared" si="8"/>
        <v>0</v>
      </c>
    </row>
    <row r="128" spans="1:21" ht="15.75" thickBot="1" x14ac:dyDescent="0.3">
      <c r="A128" s="21">
        <v>124</v>
      </c>
      <c r="B128" s="150">
        <f>'X. Satser pensjonstilskudd'!B128</f>
        <v>0</v>
      </c>
      <c r="C128" s="18">
        <f>'X. Satser pensjonstilskudd'!C128</f>
        <v>0</v>
      </c>
      <c r="D128" s="18" t="str">
        <f>IFERROR(_xlfn.XLOOKUP($C128,factPensjon[Virksomhetsnr.],factPensjon[Forpliktelser]),"")</f>
        <v/>
      </c>
      <c r="E128" s="148">
        <f>SUMIFS(BasilRadata[Heltidsplasser
0-2],BasilRadata[År],'0. Oppsett'!$C$7-1,BasilRadata[1B. Organisasjonsnummer:],$C128)</f>
        <v>0</v>
      </c>
      <c r="F128" s="25">
        <f>'4. Selvkost og satser'!$B$54</f>
        <v>288170.9461329499</v>
      </c>
      <c r="G128" s="148">
        <f>SUMIFS(BasilRadata[Heltidsplasser
3-6],BasilRadata[År],'0. Oppsett'!$C$7-1,BasilRadata[1B. Organisasjonsnummer:],$C128)</f>
        <v>0</v>
      </c>
      <c r="H128" s="25">
        <f>'4. Selvkost og satser'!$B$55</f>
        <v>156604.23359926464</v>
      </c>
      <c r="I128" s="172">
        <f t="shared" si="5"/>
        <v>0</v>
      </c>
      <c r="J128" s="176">
        <f>SUMIFS(BasilRadata[8E. Oppgi antall årsverk barnehagen har pensjonsforpliktelser for:],BasilRadata[År],'0. Oppsett'!$C$7-1,BasilRadata[1B. Organisasjonsnummer:],'X. Utbetalingsmodul'!$C128)</f>
        <v>0</v>
      </c>
      <c r="K128" s="172" t="e">
        <f>_xlfn.XLOOKUP(C128,'X. Satser pensjonstilskudd'!$C$5:$C$224,'X. Satser pensjonstilskudd'!$I$5:$I$224)</f>
        <v>#DIV/0!</v>
      </c>
      <c r="L128" s="173" t="e">
        <f t="shared" si="6"/>
        <v>#DIV/0!</v>
      </c>
      <c r="M128" s="147">
        <f t="shared" si="7"/>
        <v>0</v>
      </c>
      <c r="N128" s="32">
        <f>IFERROR(M128*'0. Oppsett'!$C$30,0)</f>
        <v>0</v>
      </c>
      <c r="O128" s="33">
        <v>0</v>
      </c>
      <c r="P128" s="33"/>
      <c r="Q128" s="33"/>
      <c r="R128" s="33"/>
      <c r="S128" s="33">
        <v>0</v>
      </c>
      <c r="T128" s="34">
        <v>0</v>
      </c>
      <c r="U128" s="35">
        <f t="shared" si="8"/>
        <v>0</v>
      </c>
    </row>
    <row r="129" spans="1:21" ht="15.75" thickBot="1" x14ac:dyDescent="0.3">
      <c r="A129" s="17">
        <v>125</v>
      </c>
      <c r="B129" s="150">
        <f>'X. Satser pensjonstilskudd'!B129</f>
        <v>0</v>
      </c>
      <c r="C129" s="18">
        <f>'X. Satser pensjonstilskudd'!C129</f>
        <v>0</v>
      </c>
      <c r="D129" s="18" t="str">
        <f>IFERROR(_xlfn.XLOOKUP($C129,factPensjon[Virksomhetsnr.],factPensjon[Forpliktelser]),"")</f>
        <v/>
      </c>
      <c r="E129" s="148">
        <f>SUMIFS(BasilRadata[Heltidsplasser
0-2],BasilRadata[År],'0. Oppsett'!$C$7-1,BasilRadata[1B. Organisasjonsnummer:],$C129)</f>
        <v>0</v>
      </c>
      <c r="F129" s="25">
        <f>'4. Selvkost og satser'!$B$54</f>
        <v>288170.9461329499</v>
      </c>
      <c r="G129" s="148">
        <f>SUMIFS(BasilRadata[Heltidsplasser
3-6],BasilRadata[År],'0. Oppsett'!$C$7-1,BasilRadata[1B. Organisasjonsnummer:],$C129)</f>
        <v>0</v>
      </c>
      <c r="H129" s="25">
        <f>'4. Selvkost og satser'!$B$55</f>
        <v>156604.23359926464</v>
      </c>
      <c r="I129" s="172">
        <f t="shared" si="5"/>
        <v>0</v>
      </c>
      <c r="J129" s="176">
        <f>SUMIFS(BasilRadata[8E. Oppgi antall årsverk barnehagen har pensjonsforpliktelser for:],BasilRadata[År],'0. Oppsett'!$C$7-1,BasilRadata[1B. Organisasjonsnummer:],'X. Utbetalingsmodul'!$C129)</f>
        <v>0</v>
      </c>
      <c r="K129" s="172" t="e">
        <f>_xlfn.XLOOKUP(C129,'X. Satser pensjonstilskudd'!$C$5:$C$224,'X. Satser pensjonstilskudd'!$I$5:$I$224)</f>
        <v>#DIV/0!</v>
      </c>
      <c r="L129" s="173" t="e">
        <f t="shared" si="6"/>
        <v>#DIV/0!</v>
      </c>
      <c r="M129" s="147">
        <f t="shared" si="7"/>
        <v>0</v>
      </c>
      <c r="N129" s="32">
        <f>IFERROR(M129*'0. Oppsett'!$C$30,0)</f>
        <v>0</v>
      </c>
      <c r="O129" s="33">
        <v>0</v>
      </c>
      <c r="P129" s="33"/>
      <c r="Q129" s="33"/>
      <c r="R129" s="33"/>
      <c r="S129" s="33">
        <v>0</v>
      </c>
      <c r="T129" s="34">
        <v>0</v>
      </c>
      <c r="U129" s="35">
        <f t="shared" si="8"/>
        <v>0</v>
      </c>
    </row>
    <row r="130" spans="1:21" ht="15.75" thickBot="1" x14ac:dyDescent="0.3">
      <c r="A130" s="21">
        <v>126</v>
      </c>
      <c r="B130" s="150">
        <f>'X. Satser pensjonstilskudd'!B130</f>
        <v>0</v>
      </c>
      <c r="C130" s="18">
        <f>'X. Satser pensjonstilskudd'!C130</f>
        <v>0</v>
      </c>
      <c r="D130" s="18" t="str">
        <f>IFERROR(_xlfn.XLOOKUP($C130,factPensjon[Virksomhetsnr.],factPensjon[Forpliktelser]),"")</f>
        <v/>
      </c>
      <c r="E130" s="148">
        <f>SUMIFS(BasilRadata[Heltidsplasser
0-2],BasilRadata[År],'0. Oppsett'!$C$7-1,BasilRadata[1B. Organisasjonsnummer:],$C130)</f>
        <v>0</v>
      </c>
      <c r="F130" s="25">
        <f>'4. Selvkost og satser'!$B$54</f>
        <v>288170.9461329499</v>
      </c>
      <c r="G130" s="148">
        <f>SUMIFS(BasilRadata[Heltidsplasser
3-6],BasilRadata[År],'0. Oppsett'!$C$7-1,BasilRadata[1B. Organisasjonsnummer:],$C130)</f>
        <v>0</v>
      </c>
      <c r="H130" s="25">
        <f>'4. Selvkost og satser'!$B$55</f>
        <v>156604.23359926464</v>
      </c>
      <c r="I130" s="172">
        <f t="shared" si="5"/>
        <v>0</v>
      </c>
      <c r="J130" s="176">
        <f>SUMIFS(BasilRadata[8E. Oppgi antall årsverk barnehagen har pensjonsforpliktelser for:],BasilRadata[År],'0. Oppsett'!$C$7-1,BasilRadata[1B. Organisasjonsnummer:],'X. Utbetalingsmodul'!$C130)</f>
        <v>0</v>
      </c>
      <c r="K130" s="172" t="e">
        <f>_xlfn.XLOOKUP(C130,'X. Satser pensjonstilskudd'!$C$5:$C$224,'X. Satser pensjonstilskudd'!$I$5:$I$224)</f>
        <v>#DIV/0!</v>
      </c>
      <c r="L130" s="173" t="e">
        <f t="shared" si="6"/>
        <v>#DIV/0!</v>
      </c>
      <c r="M130" s="147">
        <f t="shared" si="7"/>
        <v>0</v>
      </c>
      <c r="N130" s="32">
        <f>IFERROR(M130*'0. Oppsett'!$C$30,0)</f>
        <v>0</v>
      </c>
      <c r="O130" s="33">
        <v>0</v>
      </c>
      <c r="P130" s="33"/>
      <c r="Q130" s="33"/>
      <c r="R130" s="33"/>
      <c r="S130" s="33">
        <v>0</v>
      </c>
      <c r="T130" s="34">
        <v>0</v>
      </c>
      <c r="U130" s="35">
        <f t="shared" si="8"/>
        <v>0</v>
      </c>
    </row>
    <row r="131" spans="1:21" ht="15.75" thickBot="1" x14ac:dyDescent="0.3">
      <c r="A131" s="17">
        <v>127</v>
      </c>
      <c r="B131" s="150">
        <f>'X. Satser pensjonstilskudd'!B131</f>
        <v>0</v>
      </c>
      <c r="C131" s="18">
        <f>'X. Satser pensjonstilskudd'!C131</f>
        <v>0</v>
      </c>
      <c r="D131" s="18" t="str">
        <f>IFERROR(_xlfn.XLOOKUP($C131,factPensjon[Virksomhetsnr.],factPensjon[Forpliktelser]),"")</f>
        <v/>
      </c>
      <c r="E131" s="148">
        <f>SUMIFS(BasilRadata[Heltidsplasser
0-2],BasilRadata[År],'0. Oppsett'!$C$7-1,BasilRadata[1B. Organisasjonsnummer:],$C131)</f>
        <v>0</v>
      </c>
      <c r="F131" s="25">
        <f>'4. Selvkost og satser'!$B$54</f>
        <v>288170.9461329499</v>
      </c>
      <c r="G131" s="148">
        <f>SUMIFS(BasilRadata[Heltidsplasser
3-6],BasilRadata[År],'0. Oppsett'!$C$7-1,BasilRadata[1B. Organisasjonsnummer:],$C131)</f>
        <v>0</v>
      </c>
      <c r="H131" s="25">
        <f>'4. Selvkost og satser'!$B$55</f>
        <v>156604.23359926464</v>
      </c>
      <c r="I131" s="172">
        <f t="shared" si="5"/>
        <v>0</v>
      </c>
      <c r="J131" s="176">
        <f>SUMIFS(BasilRadata[8E. Oppgi antall årsverk barnehagen har pensjonsforpliktelser for:],BasilRadata[År],'0. Oppsett'!$C$7-1,BasilRadata[1B. Organisasjonsnummer:],'X. Utbetalingsmodul'!$C131)</f>
        <v>0</v>
      </c>
      <c r="K131" s="172" t="e">
        <f>_xlfn.XLOOKUP(C131,'X. Satser pensjonstilskudd'!$C$5:$C$224,'X. Satser pensjonstilskudd'!$I$5:$I$224)</f>
        <v>#DIV/0!</v>
      </c>
      <c r="L131" s="173" t="e">
        <f t="shared" si="6"/>
        <v>#DIV/0!</v>
      </c>
      <c r="M131" s="147">
        <f t="shared" si="7"/>
        <v>0</v>
      </c>
      <c r="N131" s="32">
        <f>IFERROR(M131*'0. Oppsett'!$C$30,0)</f>
        <v>0</v>
      </c>
      <c r="O131" s="33">
        <v>0</v>
      </c>
      <c r="P131" s="33"/>
      <c r="Q131" s="33"/>
      <c r="R131" s="33"/>
      <c r="S131" s="33">
        <v>0</v>
      </c>
      <c r="T131" s="34">
        <v>0</v>
      </c>
      <c r="U131" s="35">
        <f t="shared" si="8"/>
        <v>0</v>
      </c>
    </row>
    <row r="132" spans="1:21" ht="15.75" thickBot="1" x14ac:dyDescent="0.3">
      <c r="A132" s="21">
        <v>128</v>
      </c>
      <c r="B132" s="150">
        <f>'X. Satser pensjonstilskudd'!B132</f>
        <v>0</v>
      </c>
      <c r="C132" s="18">
        <f>'X. Satser pensjonstilskudd'!C132</f>
        <v>0</v>
      </c>
      <c r="D132" s="18" t="str">
        <f>IFERROR(_xlfn.XLOOKUP($C132,factPensjon[Virksomhetsnr.],factPensjon[Forpliktelser]),"")</f>
        <v/>
      </c>
      <c r="E132" s="148">
        <f>SUMIFS(BasilRadata[Heltidsplasser
0-2],BasilRadata[År],'0. Oppsett'!$C$7-1,BasilRadata[1B. Organisasjonsnummer:],$C132)</f>
        <v>0</v>
      </c>
      <c r="F132" s="25">
        <f>'4. Selvkost og satser'!$B$54</f>
        <v>288170.9461329499</v>
      </c>
      <c r="G132" s="148">
        <f>SUMIFS(BasilRadata[Heltidsplasser
3-6],BasilRadata[År],'0. Oppsett'!$C$7-1,BasilRadata[1B. Organisasjonsnummer:],$C132)</f>
        <v>0</v>
      </c>
      <c r="H132" s="25">
        <f>'4. Selvkost og satser'!$B$55</f>
        <v>156604.23359926464</v>
      </c>
      <c r="I132" s="172">
        <f t="shared" si="5"/>
        <v>0</v>
      </c>
      <c r="J132" s="176">
        <f>SUMIFS(BasilRadata[8E. Oppgi antall årsverk barnehagen har pensjonsforpliktelser for:],BasilRadata[År],'0. Oppsett'!$C$7-1,BasilRadata[1B. Organisasjonsnummer:],'X. Utbetalingsmodul'!$C132)</f>
        <v>0</v>
      </c>
      <c r="K132" s="172" t="e">
        <f>_xlfn.XLOOKUP(C132,'X. Satser pensjonstilskudd'!$C$5:$C$224,'X. Satser pensjonstilskudd'!$I$5:$I$224)</f>
        <v>#DIV/0!</v>
      </c>
      <c r="L132" s="173" t="e">
        <f t="shared" si="6"/>
        <v>#DIV/0!</v>
      </c>
      <c r="M132" s="147">
        <f t="shared" si="7"/>
        <v>0</v>
      </c>
      <c r="N132" s="32">
        <f>IFERROR(M132*'0. Oppsett'!$C$30,0)</f>
        <v>0</v>
      </c>
      <c r="O132" s="33">
        <v>0</v>
      </c>
      <c r="P132" s="33"/>
      <c r="Q132" s="33"/>
      <c r="R132" s="33"/>
      <c r="S132" s="33">
        <v>0</v>
      </c>
      <c r="T132" s="34">
        <v>0</v>
      </c>
      <c r="U132" s="35">
        <f t="shared" si="8"/>
        <v>0</v>
      </c>
    </row>
    <row r="133" spans="1:21" ht="15.75" thickBot="1" x14ac:dyDescent="0.3">
      <c r="A133" s="17">
        <v>129</v>
      </c>
      <c r="B133" s="150">
        <f>'X. Satser pensjonstilskudd'!B133</f>
        <v>0</v>
      </c>
      <c r="C133" s="18">
        <f>'X. Satser pensjonstilskudd'!C133</f>
        <v>0</v>
      </c>
      <c r="D133" s="18" t="str">
        <f>IFERROR(_xlfn.XLOOKUP($C133,factPensjon[Virksomhetsnr.],factPensjon[Forpliktelser]),"")</f>
        <v/>
      </c>
      <c r="E133" s="148">
        <f>SUMIFS(BasilRadata[Heltidsplasser
0-2],BasilRadata[År],'0. Oppsett'!$C$7-1,BasilRadata[1B. Organisasjonsnummer:],$C133)</f>
        <v>0</v>
      </c>
      <c r="F133" s="25">
        <f>'4. Selvkost og satser'!$B$54</f>
        <v>288170.9461329499</v>
      </c>
      <c r="G133" s="148">
        <f>SUMIFS(BasilRadata[Heltidsplasser
3-6],BasilRadata[År],'0. Oppsett'!$C$7-1,BasilRadata[1B. Organisasjonsnummer:],$C133)</f>
        <v>0</v>
      </c>
      <c r="H133" s="25">
        <f>'4. Selvkost og satser'!$B$55</f>
        <v>156604.23359926464</v>
      </c>
      <c r="I133" s="172">
        <f t="shared" ref="I133:I196" si="9">IFERROR(IF(B133="",0,E133*F133+G133*H133),0)</f>
        <v>0</v>
      </c>
      <c r="J133" s="176">
        <f>SUMIFS(BasilRadata[8E. Oppgi antall årsverk barnehagen har pensjonsforpliktelser for:],BasilRadata[År],'0. Oppsett'!$C$7-1,BasilRadata[1B. Organisasjonsnummer:],'X. Utbetalingsmodul'!$C133)</f>
        <v>0</v>
      </c>
      <c r="K133" s="172" t="e">
        <f>_xlfn.XLOOKUP(C133,'X. Satser pensjonstilskudd'!$C$5:$C$224,'X. Satser pensjonstilskudd'!$I$5:$I$224)</f>
        <v>#DIV/0!</v>
      </c>
      <c r="L133" s="173" t="e">
        <f t="shared" ref="L133:L196" si="10">K133*J133</f>
        <v>#DIV/0!</v>
      </c>
      <c r="M133" s="147">
        <f t="shared" si="7"/>
        <v>0</v>
      </c>
      <c r="N133" s="32">
        <f>IFERROR(M133*'0. Oppsett'!$C$30,0)</f>
        <v>0</v>
      </c>
      <c r="O133" s="33">
        <v>0</v>
      </c>
      <c r="P133" s="33"/>
      <c r="Q133" s="33"/>
      <c r="R133" s="33"/>
      <c r="S133" s="33">
        <v>0</v>
      </c>
      <c r="T133" s="34">
        <v>0</v>
      </c>
      <c r="U133" s="35">
        <f t="shared" si="8"/>
        <v>0</v>
      </c>
    </row>
    <row r="134" spans="1:21" ht="15.75" thickBot="1" x14ac:dyDescent="0.3">
      <c r="A134" s="21">
        <v>130</v>
      </c>
      <c r="B134" s="150">
        <f>'X. Satser pensjonstilskudd'!B134</f>
        <v>0</v>
      </c>
      <c r="C134" s="18">
        <f>'X. Satser pensjonstilskudd'!C134</f>
        <v>0</v>
      </c>
      <c r="D134" s="18" t="str">
        <f>IFERROR(_xlfn.XLOOKUP($C134,factPensjon[Virksomhetsnr.],factPensjon[Forpliktelser]),"")</f>
        <v/>
      </c>
      <c r="E134" s="148">
        <f>SUMIFS(BasilRadata[Heltidsplasser
0-2],BasilRadata[År],'0. Oppsett'!$C$7-1,BasilRadata[1B. Organisasjonsnummer:],$C134)</f>
        <v>0</v>
      </c>
      <c r="F134" s="25">
        <f>'4. Selvkost og satser'!$B$54</f>
        <v>288170.9461329499</v>
      </c>
      <c r="G134" s="148">
        <f>SUMIFS(BasilRadata[Heltidsplasser
3-6],BasilRadata[År],'0. Oppsett'!$C$7-1,BasilRadata[1B. Organisasjonsnummer:],$C134)</f>
        <v>0</v>
      </c>
      <c r="H134" s="25">
        <f>'4. Selvkost og satser'!$B$55</f>
        <v>156604.23359926464</v>
      </c>
      <c r="I134" s="172">
        <f t="shared" si="9"/>
        <v>0</v>
      </c>
      <c r="J134" s="176">
        <f>SUMIFS(BasilRadata[8E. Oppgi antall årsverk barnehagen har pensjonsforpliktelser for:],BasilRadata[År],'0. Oppsett'!$C$7-1,BasilRadata[1B. Organisasjonsnummer:],'X. Utbetalingsmodul'!$C134)</f>
        <v>0</v>
      </c>
      <c r="K134" s="172" t="e">
        <f>_xlfn.XLOOKUP(C134,'X. Satser pensjonstilskudd'!$C$5:$C$224,'X. Satser pensjonstilskudd'!$I$5:$I$224)</f>
        <v>#DIV/0!</v>
      </c>
      <c r="L134" s="173" t="e">
        <f t="shared" si="10"/>
        <v>#DIV/0!</v>
      </c>
      <c r="M134" s="147">
        <f t="shared" ref="M134:M197" si="11">E134+G134</f>
        <v>0</v>
      </c>
      <c r="N134" s="32">
        <f>IFERROR(M134*'0. Oppsett'!$C$30,0)</f>
        <v>0</v>
      </c>
      <c r="O134" s="33">
        <v>0</v>
      </c>
      <c r="P134" s="33"/>
      <c r="Q134" s="33"/>
      <c r="R134" s="33"/>
      <c r="S134" s="33">
        <v>0</v>
      </c>
      <c r="T134" s="34">
        <v>0</v>
      </c>
      <c r="U134" s="35">
        <f t="shared" si="8"/>
        <v>0</v>
      </c>
    </row>
    <row r="135" spans="1:21" ht="15.75" thickBot="1" x14ac:dyDescent="0.3">
      <c r="A135" s="17">
        <v>131</v>
      </c>
      <c r="B135" s="150">
        <f>'X. Satser pensjonstilskudd'!B135</f>
        <v>0</v>
      </c>
      <c r="C135" s="18">
        <f>'X. Satser pensjonstilskudd'!C135</f>
        <v>0</v>
      </c>
      <c r="D135" s="18" t="str">
        <f>IFERROR(_xlfn.XLOOKUP($C135,factPensjon[Virksomhetsnr.],factPensjon[Forpliktelser]),"")</f>
        <v/>
      </c>
      <c r="E135" s="148">
        <f>SUMIFS(BasilRadata[Heltidsplasser
0-2],BasilRadata[År],'0. Oppsett'!$C$7-1,BasilRadata[1B. Organisasjonsnummer:],$C135)</f>
        <v>0</v>
      </c>
      <c r="F135" s="25">
        <f>'4. Selvkost og satser'!$B$54</f>
        <v>288170.9461329499</v>
      </c>
      <c r="G135" s="148">
        <f>SUMIFS(BasilRadata[Heltidsplasser
3-6],BasilRadata[År],'0. Oppsett'!$C$7-1,BasilRadata[1B. Organisasjonsnummer:],$C135)</f>
        <v>0</v>
      </c>
      <c r="H135" s="25">
        <f>'4. Selvkost og satser'!$B$55</f>
        <v>156604.23359926464</v>
      </c>
      <c r="I135" s="172">
        <f t="shared" si="9"/>
        <v>0</v>
      </c>
      <c r="J135" s="176">
        <f>SUMIFS(BasilRadata[8E. Oppgi antall årsverk barnehagen har pensjonsforpliktelser for:],BasilRadata[År],'0. Oppsett'!$C$7-1,BasilRadata[1B. Organisasjonsnummer:],'X. Utbetalingsmodul'!$C135)</f>
        <v>0</v>
      </c>
      <c r="K135" s="172" t="e">
        <f>_xlfn.XLOOKUP(C135,'X. Satser pensjonstilskudd'!$C$5:$C$224,'X. Satser pensjonstilskudd'!$I$5:$I$224)</f>
        <v>#DIV/0!</v>
      </c>
      <c r="L135" s="173" t="e">
        <f t="shared" si="10"/>
        <v>#DIV/0!</v>
      </c>
      <c r="M135" s="147">
        <f t="shared" si="11"/>
        <v>0</v>
      </c>
      <c r="N135" s="32">
        <f>IFERROR(M135*'0. Oppsett'!$C$30,0)</f>
        <v>0</v>
      </c>
      <c r="O135" s="33">
        <v>0</v>
      </c>
      <c r="P135" s="33"/>
      <c r="Q135" s="33"/>
      <c r="R135" s="33"/>
      <c r="S135" s="33">
        <v>0</v>
      </c>
      <c r="T135" s="34">
        <v>0</v>
      </c>
      <c r="U135" s="35">
        <f t="shared" si="8"/>
        <v>0</v>
      </c>
    </row>
    <row r="136" spans="1:21" ht="15.75" thickBot="1" x14ac:dyDescent="0.3">
      <c r="A136" s="21">
        <v>132</v>
      </c>
      <c r="B136" s="150">
        <f>'X. Satser pensjonstilskudd'!B136</f>
        <v>0</v>
      </c>
      <c r="C136" s="18">
        <f>'X. Satser pensjonstilskudd'!C136</f>
        <v>0</v>
      </c>
      <c r="D136" s="18" t="str">
        <f>IFERROR(_xlfn.XLOOKUP($C136,factPensjon[Virksomhetsnr.],factPensjon[Forpliktelser]),"")</f>
        <v/>
      </c>
      <c r="E136" s="148">
        <f>SUMIFS(BasilRadata[Heltidsplasser
0-2],BasilRadata[År],'0. Oppsett'!$C$7-1,BasilRadata[1B. Organisasjonsnummer:],$C136)</f>
        <v>0</v>
      </c>
      <c r="F136" s="25">
        <f>'4. Selvkost og satser'!$B$54</f>
        <v>288170.9461329499</v>
      </c>
      <c r="G136" s="148">
        <f>SUMIFS(BasilRadata[Heltidsplasser
3-6],BasilRadata[År],'0. Oppsett'!$C$7-1,BasilRadata[1B. Organisasjonsnummer:],$C136)</f>
        <v>0</v>
      </c>
      <c r="H136" s="25">
        <f>'4. Selvkost og satser'!$B$55</f>
        <v>156604.23359926464</v>
      </c>
      <c r="I136" s="172">
        <f t="shared" si="9"/>
        <v>0</v>
      </c>
      <c r="J136" s="176">
        <f>SUMIFS(BasilRadata[8E. Oppgi antall årsverk barnehagen har pensjonsforpliktelser for:],BasilRadata[År],'0. Oppsett'!$C$7-1,BasilRadata[1B. Organisasjonsnummer:],'X. Utbetalingsmodul'!$C136)</f>
        <v>0</v>
      </c>
      <c r="K136" s="172" t="e">
        <f>_xlfn.XLOOKUP(C136,'X. Satser pensjonstilskudd'!$C$5:$C$224,'X. Satser pensjonstilskudd'!$I$5:$I$224)</f>
        <v>#DIV/0!</v>
      </c>
      <c r="L136" s="173" t="e">
        <f t="shared" si="10"/>
        <v>#DIV/0!</v>
      </c>
      <c r="M136" s="147">
        <f t="shared" si="11"/>
        <v>0</v>
      </c>
      <c r="N136" s="32">
        <f>IFERROR(M136*'0. Oppsett'!$C$30,0)</f>
        <v>0</v>
      </c>
      <c r="O136" s="33">
        <v>0</v>
      </c>
      <c r="P136" s="33"/>
      <c r="Q136" s="33"/>
      <c r="R136" s="33"/>
      <c r="S136" s="33">
        <v>0</v>
      </c>
      <c r="T136" s="34">
        <v>0</v>
      </c>
      <c r="U136" s="35">
        <f t="shared" si="8"/>
        <v>0</v>
      </c>
    </row>
    <row r="137" spans="1:21" ht="15.75" thickBot="1" x14ac:dyDescent="0.3">
      <c r="A137" s="17">
        <v>133</v>
      </c>
      <c r="B137" s="150">
        <f>'X. Satser pensjonstilskudd'!B137</f>
        <v>0</v>
      </c>
      <c r="C137" s="18">
        <f>'X. Satser pensjonstilskudd'!C137</f>
        <v>0</v>
      </c>
      <c r="D137" s="18" t="str">
        <f>IFERROR(_xlfn.XLOOKUP($C137,factPensjon[Virksomhetsnr.],factPensjon[Forpliktelser]),"")</f>
        <v/>
      </c>
      <c r="E137" s="148">
        <f>SUMIFS(BasilRadata[Heltidsplasser
0-2],BasilRadata[År],'0. Oppsett'!$C$7-1,BasilRadata[1B. Organisasjonsnummer:],$C137)</f>
        <v>0</v>
      </c>
      <c r="F137" s="25">
        <f>'4. Selvkost og satser'!$B$54</f>
        <v>288170.9461329499</v>
      </c>
      <c r="G137" s="148">
        <f>SUMIFS(BasilRadata[Heltidsplasser
3-6],BasilRadata[År],'0. Oppsett'!$C$7-1,BasilRadata[1B. Organisasjonsnummer:],$C137)</f>
        <v>0</v>
      </c>
      <c r="H137" s="25">
        <f>'4. Selvkost og satser'!$B$55</f>
        <v>156604.23359926464</v>
      </c>
      <c r="I137" s="172">
        <f t="shared" si="9"/>
        <v>0</v>
      </c>
      <c r="J137" s="176">
        <f>SUMIFS(BasilRadata[8E. Oppgi antall årsverk barnehagen har pensjonsforpliktelser for:],BasilRadata[År],'0. Oppsett'!$C$7-1,BasilRadata[1B. Organisasjonsnummer:],'X. Utbetalingsmodul'!$C137)</f>
        <v>0</v>
      </c>
      <c r="K137" s="172" t="e">
        <f>_xlfn.XLOOKUP(C137,'X. Satser pensjonstilskudd'!$C$5:$C$224,'X. Satser pensjonstilskudd'!$I$5:$I$224)</f>
        <v>#DIV/0!</v>
      </c>
      <c r="L137" s="173" t="e">
        <f t="shared" si="10"/>
        <v>#DIV/0!</v>
      </c>
      <c r="M137" s="147">
        <f t="shared" si="11"/>
        <v>0</v>
      </c>
      <c r="N137" s="32">
        <f>IFERROR(M137*'0. Oppsett'!$C$30,0)</f>
        <v>0</v>
      </c>
      <c r="O137" s="33">
        <v>0</v>
      </c>
      <c r="P137" s="33"/>
      <c r="Q137" s="33"/>
      <c r="R137" s="33"/>
      <c r="S137" s="33">
        <v>0</v>
      </c>
      <c r="T137" s="34">
        <v>0</v>
      </c>
      <c r="U137" s="35">
        <f t="shared" si="8"/>
        <v>0</v>
      </c>
    </row>
    <row r="138" spans="1:21" ht="15.75" thickBot="1" x14ac:dyDescent="0.3">
      <c r="A138" s="21">
        <v>134</v>
      </c>
      <c r="B138" s="150">
        <f>'X. Satser pensjonstilskudd'!B138</f>
        <v>0</v>
      </c>
      <c r="C138" s="18">
        <f>'X. Satser pensjonstilskudd'!C138</f>
        <v>0</v>
      </c>
      <c r="D138" s="18" t="str">
        <f>IFERROR(_xlfn.XLOOKUP($C138,factPensjon[Virksomhetsnr.],factPensjon[Forpliktelser]),"")</f>
        <v/>
      </c>
      <c r="E138" s="148">
        <f>SUMIFS(BasilRadata[Heltidsplasser
0-2],BasilRadata[År],'0. Oppsett'!$C$7-1,BasilRadata[1B. Organisasjonsnummer:],$C138)</f>
        <v>0</v>
      </c>
      <c r="F138" s="25">
        <f>'4. Selvkost og satser'!$B$54</f>
        <v>288170.9461329499</v>
      </c>
      <c r="G138" s="148">
        <f>SUMIFS(BasilRadata[Heltidsplasser
3-6],BasilRadata[År],'0. Oppsett'!$C$7-1,BasilRadata[1B. Organisasjonsnummer:],$C138)</f>
        <v>0</v>
      </c>
      <c r="H138" s="25">
        <f>'4. Selvkost og satser'!$B$55</f>
        <v>156604.23359926464</v>
      </c>
      <c r="I138" s="172">
        <f t="shared" si="9"/>
        <v>0</v>
      </c>
      <c r="J138" s="176">
        <f>SUMIFS(BasilRadata[8E. Oppgi antall årsverk barnehagen har pensjonsforpliktelser for:],BasilRadata[År],'0. Oppsett'!$C$7-1,BasilRadata[1B. Organisasjonsnummer:],'X. Utbetalingsmodul'!$C138)</f>
        <v>0</v>
      </c>
      <c r="K138" s="172" t="e">
        <f>_xlfn.XLOOKUP(C138,'X. Satser pensjonstilskudd'!$C$5:$C$224,'X. Satser pensjonstilskudd'!$I$5:$I$224)</f>
        <v>#DIV/0!</v>
      </c>
      <c r="L138" s="173" t="e">
        <f t="shared" si="10"/>
        <v>#DIV/0!</v>
      </c>
      <c r="M138" s="147">
        <f t="shared" si="11"/>
        <v>0</v>
      </c>
      <c r="N138" s="32">
        <f>IFERROR(M138*'0. Oppsett'!$C$30,0)</f>
        <v>0</v>
      </c>
      <c r="O138" s="33">
        <v>0</v>
      </c>
      <c r="P138" s="33"/>
      <c r="Q138" s="33"/>
      <c r="R138" s="33"/>
      <c r="S138" s="33">
        <v>0</v>
      </c>
      <c r="T138" s="34">
        <v>0</v>
      </c>
      <c r="U138" s="35">
        <f t="shared" si="8"/>
        <v>0</v>
      </c>
    </row>
    <row r="139" spans="1:21" ht="15.75" thickBot="1" x14ac:dyDescent="0.3">
      <c r="A139" s="17">
        <v>135</v>
      </c>
      <c r="B139" s="150">
        <f>'X. Satser pensjonstilskudd'!B139</f>
        <v>0</v>
      </c>
      <c r="C139" s="18">
        <f>'X. Satser pensjonstilskudd'!C139</f>
        <v>0</v>
      </c>
      <c r="D139" s="18" t="str">
        <f>IFERROR(_xlfn.XLOOKUP($C139,factPensjon[Virksomhetsnr.],factPensjon[Forpliktelser]),"")</f>
        <v/>
      </c>
      <c r="E139" s="148">
        <f>SUMIFS(BasilRadata[Heltidsplasser
0-2],BasilRadata[År],'0. Oppsett'!$C$7-1,BasilRadata[1B. Organisasjonsnummer:],$C139)</f>
        <v>0</v>
      </c>
      <c r="F139" s="25">
        <f>'4. Selvkost og satser'!$B$54</f>
        <v>288170.9461329499</v>
      </c>
      <c r="G139" s="148">
        <f>SUMIFS(BasilRadata[Heltidsplasser
3-6],BasilRadata[År],'0. Oppsett'!$C$7-1,BasilRadata[1B. Organisasjonsnummer:],$C139)</f>
        <v>0</v>
      </c>
      <c r="H139" s="25">
        <f>'4. Selvkost og satser'!$B$55</f>
        <v>156604.23359926464</v>
      </c>
      <c r="I139" s="172">
        <f t="shared" si="9"/>
        <v>0</v>
      </c>
      <c r="J139" s="176">
        <f>SUMIFS(BasilRadata[8E. Oppgi antall årsverk barnehagen har pensjonsforpliktelser for:],BasilRadata[År],'0. Oppsett'!$C$7-1,BasilRadata[1B. Organisasjonsnummer:],'X. Utbetalingsmodul'!$C139)</f>
        <v>0</v>
      </c>
      <c r="K139" s="172" t="e">
        <f>_xlfn.XLOOKUP(C139,'X. Satser pensjonstilskudd'!$C$5:$C$224,'X. Satser pensjonstilskudd'!$I$5:$I$224)</f>
        <v>#DIV/0!</v>
      </c>
      <c r="L139" s="173" t="e">
        <f t="shared" si="10"/>
        <v>#DIV/0!</v>
      </c>
      <c r="M139" s="147">
        <f t="shared" si="11"/>
        <v>0</v>
      </c>
      <c r="N139" s="32">
        <f>IFERROR(M139*'0. Oppsett'!$C$30,0)</f>
        <v>0</v>
      </c>
      <c r="O139" s="33">
        <v>0</v>
      </c>
      <c r="P139" s="33"/>
      <c r="Q139" s="33"/>
      <c r="R139" s="33"/>
      <c r="S139" s="33">
        <v>0</v>
      </c>
      <c r="T139" s="34">
        <v>0</v>
      </c>
      <c r="U139" s="35">
        <f t="shared" ref="U139:U202" si="12">IFERROR(IF(B139="",0,I139+K139+N139+O139+S139+T139),0)</f>
        <v>0</v>
      </c>
    </row>
    <row r="140" spans="1:21" ht="15.75" thickBot="1" x14ac:dyDescent="0.3">
      <c r="A140" s="21">
        <v>136</v>
      </c>
      <c r="B140" s="150">
        <f>'X. Satser pensjonstilskudd'!B140</f>
        <v>0</v>
      </c>
      <c r="C140" s="18">
        <f>'X. Satser pensjonstilskudd'!C140</f>
        <v>0</v>
      </c>
      <c r="D140" s="18" t="str">
        <f>IFERROR(_xlfn.XLOOKUP($C140,factPensjon[Virksomhetsnr.],factPensjon[Forpliktelser]),"")</f>
        <v/>
      </c>
      <c r="E140" s="148">
        <f>SUMIFS(BasilRadata[Heltidsplasser
0-2],BasilRadata[År],'0. Oppsett'!$C$7-1,BasilRadata[1B. Organisasjonsnummer:],$C140)</f>
        <v>0</v>
      </c>
      <c r="F140" s="25">
        <f>'4. Selvkost og satser'!$B$54</f>
        <v>288170.9461329499</v>
      </c>
      <c r="G140" s="148">
        <f>SUMIFS(BasilRadata[Heltidsplasser
3-6],BasilRadata[År],'0. Oppsett'!$C$7-1,BasilRadata[1B. Organisasjonsnummer:],$C140)</f>
        <v>0</v>
      </c>
      <c r="H140" s="25">
        <f>'4. Selvkost og satser'!$B$55</f>
        <v>156604.23359926464</v>
      </c>
      <c r="I140" s="172">
        <f t="shared" si="9"/>
        <v>0</v>
      </c>
      <c r="J140" s="176">
        <f>SUMIFS(BasilRadata[8E. Oppgi antall årsverk barnehagen har pensjonsforpliktelser for:],BasilRadata[År],'0. Oppsett'!$C$7-1,BasilRadata[1B. Organisasjonsnummer:],'X. Utbetalingsmodul'!$C140)</f>
        <v>0</v>
      </c>
      <c r="K140" s="172" t="e">
        <f>_xlfn.XLOOKUP(C140,'X. Satser pensjonstilskudd'!$C$5:$C$224,'X. Satser pensjonstilskudd'!$I$5:$I$224)</f>
        <v>#DIV/0!</v>
      </c>
      <c r="L140" s="173" t="e">
        <f t="shared" si="10"/>
        <v>#DIV/0!</v>
      </c>
      <c r="M140" s="147">
        <f t="shared" si="11"/>
        <v>0</v>
      </c>
      <c r="N140" s="32">
        <f>IFERROR(M140*'0. Oppsett'!$C$30,0)</f>
        <v>0</v>
      </c>
      <c r="O140" s="33">
        <v>0</v>
      </c>
      <c r="P140" s="33"/>
      <c r="Q140" s="33"/>
      <c r="R140" s="33"/>
      <c r="S140" s="33">
        <v>0</v>
      </c>
      <c r="T140" s="34">
        <v>0</v>
      </c>
      <c r="U140" s="35">
        <f t="shared" si="12"/>
        <v>0</v>
      </c>
    </row>
    <row r="141" spans="1:21" ht="15.75" thickBot="1" x14ac:dyDescent="0.3">
      <c r="A141" s="17">
        <v>137</v>
      </c>
      <c r="B141" s="150">
        <f>'X. Satser pensjonstilskudd'!B141</f>
        <v>0</v>
      </c>
      <c r="C141" s="18">
        <f>'X. Satser pensjonstilskudd'!C141</f>
        <v>0</v>
      </c>
      <c r="D141" s="18" t="str">
        <f>IFERROR(_xlfn.XLOOKUP($C141,factPensjon[Virksomhetsnr.],factPensjon[Forpliktelser]),"")</f>
        <v/>
      </c>
      <c r="E141" s="148">
        <f>SUMIFS(BasilRadata[Heltidsplasser
0-2],BasilRadata[År],'0. Oppsett'!$C$7-1,BasilRadata[1B. Organisasjonsnummer:],$C141)</f>
        <v>0</v>
      </c>
      <c r="F141" s="25">
        <f>'4. Selvkost og satser'!$B$54</f>
        <v>288170.9461329499</v>
      </c>
      <c r="G141" s="148">
        <f>SUMIFS(BasilRadata[Heltidsplasser
3-6],BasilRadata[År],'0. Oppsett'!$C$7-1,BasilRadata[1B. Organisasjonsnummer:],$C141)</f>
        <v>0</v>
      </c>
      <c r="H141" s="25">
        <f>'4. Selvkost og satser'!$B$55</f>
        <v>156604.23359926464</v>
      </c>
      <c r="I141" s="172">
        <f t="shared" si="9"/>
        <v>0</v>
      </c>
      <c r="J141" s="176">
        <f>SUMIFS(BasilRadata[8E. Oppgi antall årsverk barnehagen har pensjonsforpliktelser for:],BasilRadata[År],'0. Oppsett'!$C$7-1,BasilRadata[1B. Organisasjonsnummer:],'X. Utbetalingsmodul'!$C141)</f>
        <v>0</v>
      </c>
      <c r="K141" s="172" t="e">
        <f>_xlfn.XLOOKUP(C141,'X. Satser pensjonstilskudd'!$C$5:$C$224,'X. Satser pensjonstilskudd'!$I$5:$I$224)</f>
        <v>#DIV/0!</v>
      </c>
      <c r="L141" s="173" t="e">
        <f t="shared" si="10"/>
        <v>#DIV/0!</v>
      </c>
      <c r="M141" s="147">
        <f t="shared" si="11"/>
        <v>0</v>
      </c>
      <c r="N141" s="32">
        <f>IFERROR(M141*'0. Oppsett'!$C$30,0)</f>
        <v>0</v>
      </c>
      <c r="O141" s="33">
        <v>0</v>
      </c>
      <c r="P141" s="33"/>
      <c r="Q141" s="33"/>
      <c r="R141" s="33"/>
      <c r="S141" s="33">
        <v>0</v>
      </c>
      <c r="T141" s="34">
        <v>0</v>
      </c>
      <c r="U141" s="35">
        <f t="shared" si="12"/>
        <v>0</v>
      </c>
    </row>
    <row r="142" spans="1:21" ht="15.75" thickBot="1" x14ac:dyDescent="0.3">
      <c r="A142" s="21">
        <v>138</v>
      </c>
      <c r="B142" s="150">
        <f>'X. Satser pensjonstilskudd'!B142</f>
        <v>0</v>
      </c>
      <c r="C142" s="18">
        <f>'X. Satser pensjonstilskudd'!C142</f>
        <v>0</v>
      </c>
      <c r="D142" s="18" t="str">
        <f>IFERROR(_xlfn.XLOOKUP($C142,factPensjon[Virksomhetsnr.],factPensjon[Forpliktelser]),"")</f>
        <v/>
      </c>
      <c r="E142" s="148">
        <f>SUMIFS(BasilRadata[Heltidsplasser
0-2],BasilRadata[År],'0. Oppsett'!$C$7-1,BasilRadata[1B. Organisasjonsnummer:],$C142)</f>
        <v>0</v>
      </c>
      <c r="F142" s="25">
        <f>'4. Selvkost og satser'!$B$54</f>
        <v>288170.9461329499</v>
      </c>
      <c r="G142" s="148">
        <f>SUMIFS(BasilRadata[Heltidsplasser
3-6],BasilRadata[År],'0. Oppsett'!$C$7-1,BasilRadata[1B. Organisasjonsnummer:],$C142)</f>
        <v>0</v>
      </c>
      <c r="H142" s="25">
        <f>'4. Selvkost og satser'!$B$55</f>
        <v>156604.23359926464</v>
      </c>
      <c r="I142" s="172">
        <f t="shared" si="9"/>
        <v>0</v>
      </c>
      <c r="J142" s="176">
        <f>SUMIFS(BasilRadata[8E. Oppgi antall årsverk barnehagen har pensjonsforpliktelser for:],BasilRadata[År],'0. Oppsett'!$C$7-1,BasilRadata[1B. Organisasjonsnummer:],'X. Utbetalingsmodul'!$C142)</f>
        <v>0</v>
      </c>
      <c r="K142" s="172" t="e">
        <f>_xlfn.XLOOKUP(C142,'X. Satser pensjonstilskudd'!$C$5:$C$224,'X. Satser pensjonstilskudd'!$I$5:$I$224)</f>
        <v>#DIV/0!</v>
      </c>
      <c r="L142" s="173" t="e">
        <f t="shared" si="10"/>
        <v>#DIV/0!</v>
      </c>
      <c r="M142" s="147">
        <f t="shared" si="11"/>
        <v>0</v>
      </c>
      <c r="N142" s="32">
        <f>IFERROR(M142*'0. Oppsett'!$C$30,0)</f>
        <v>0</v>
      </c>
      <c r="O142" s="33">
        <v>0</v>
      </c>
      <c r="P142" s="33"/>
      <c r="Q142" s="33"/>
      <c r="R142" s="33"/>
      <c r="S142" s="33">
        <v>0</v>
      </c>
      <c r="T142" s="34">
        <v>0</v>
      </c>
      <c r="U142" s="35">
        <f t="shared" si="12"/>
        <v>0</v>
      </c>
    </row>
    <row r="143" spans="1:21" ht="15.75" thickBot="1" x14ac:dyDescent="0.3">
      <c r="A143" s="17">
        <v>139</v>
      </c>
      <c r="B143" s="150">
        <f>'X. Satser pensjonstilskudd'!B143</f>
        <v>0</v>
      </c>
      <c r="C143" s="18">
        <f>'X. Satser pensjonstilskudd'!C143</f>
        <v>0</v>
      </c>
      <c r="D143" s="18" t="str">
        <f>IFERROR(_xlfn.XLOOKUP($C143,factPensjon[Virksomhetsnr.],factPensjon[Forpliktelser]),"")</f>
        <v/>
      </c>
      <c r="E143" s="148">
        <f>SUMIFS(BasilRadata[Heltidsplasser
0-2],BasilRadata[År],'0. Oppsett'!$C$7-1,BasilRadata[1B. Organisasjonsnummer:],$C143)</f>
        <v>0</v>
      </c>
      <c r="F143" s="25">
        <f>'4. Selvkost og satser'!$B$54</f>
        <v>288170.9461329499</v>
      </c>
      <c r="G143" s="148">
        <f>SUMIFS(BasilRadata[Heltidsplasser
3-6],BasilRadata[År],'0. Oppsett'!$C$7-1,BasilRadata[1B. Organisasjonsnummer:],$C143)</f>
        <v>0</v>
      </c>
      <c r="H143" s="25">
        <f>'4. Selvkost og satser'!$B$55</f>
        <v>156604.23359926464</v>
      </c>
      <c r="I143" s="172">
        <f t="shared" si="9"/>
        <v>0</v>
      </c>
      <c r="J143" s="176">
        <f>SUMIFS(BasilRadata[8E. Oppgi antall årsverk barnehagen har pensjonsforpliktelser for:],BasilRadata[År],'0. Oppsett'!$C$7-1,BasilRadata[1B. Organisasjonsnummer:],'X. Utbetalingsmodul'!$C143)</f>
        <v>0</v>
      </c>
      <c r="K143" s="172" t="e">
        <f>_xlfn.XLOOKUP(C143,'X. Satser pensjonstilskudd'!$C$5:$C$224,'X. Satser pensjonstilskudd'!$I$5:$I$224)</f>
        <v>#DIV/0!</v>
      </c>
      <c r="L143" s="173" t="e">
        <f t="shared" si="10"/>
        <v>#DIV/0!</v>
      </c>
      <c r="M143" s="147">
        <f t="shared" si="11"/>
        <v>0</v>
      </c>
      <c r="N143" s="32">
        <f>IFERROR(M143*'0. Oppsett'!$C$30,0)</f>
        <v>0</v>
      </c>
      <c r="O143" s="33">
        <v>0</v>
      </c>
      <c r="P143" s="33"/>
      <c r="Q143" s="33"/>
      <c r="R143" s="33"/>
      <c r="S143" s="33">
        <v>0</v>
      </c>
      <c r="T143" s="34">
        <v>0</v>
      </c>
      <c r="U143" s="35">
        <f t="shared" si="12"/>
        <v>0</v>
      </c>
    </row>
    <row r="144" spans="1:21" ht="15.75" thickBot="1" x14ac:dyDescent="0.3">
      <c r="A144" s="21">
        <v>140</v>
      </c>
      <c r="B144" s="150">
        <f>'X. Satser pensjonstilskudd'!B144</f>
        <v>0</v>
      </c>
      <c r="C144" s="18">
        <f>'X. Satser pensjonstilskudd'!C144</f>
        <v>0</v>
      </c>
      <c r="D144" s="18" t="str">
        <f>IFERROR(_xlfn.XLOOKUP($C144,factPensjon[Virksomhetsnr.],factPensjon[Forpliktelser]),"")</f>
        <v/>
      </c>
      <c r="E144" s="148">
        <f>SUMIFS(BasilRadata[Heltidsplasser
0-2],BasilRadata[År],'0. Oppsett'!$C$7-1,BasilRadata[1B. Organisasjonsnummer:],$C144)</f>
        <v>0</v>
      </c>
      <c r="F144" s="25">
        <f>'4. Selvkost og satser'!$B$54</f>
        <v>288170.9461329499</v>
      </c>
      <c r="G144" s="148">
        <f>SUMIFS(BasilRadata[Heltidsplasser
3-6],BasilRadata[År],'0. Oppsett'!$C$7-1,BasilRadata[1B. Organisasjonsnummer:],$C144)</f>
        <v>0</v>
      </c>
      <c r="H144" s="25">
        <f>'4. Selvkost og satser'!$B$55</f>
        <v>156604.23359926464</v>
      </c>
      <c r="I144" s="172">
        <f t="shared" si="9"/>
        <v>0</v>
      </c>
      <c r="J144" s="176">
        <f>SUMIFS(BasilRadata[8E. Oppgi antall årsverk barnehagen har pensjonsforpliktelser for:],BasilRadata[År],'0. Oppsett'!$C$7-1,BasilRadata[1B. Organisasjonsnummer:],'X. Utbetalingsmodul'!$C144)</f>
        <v>0</v>
      </c>
      <c r="K144" s="172" t="e">
        <f>_xlfn.XLOOKUP(C144,'X. Satser pensjonstilskudd'!$C$5:$C$224,'X. Satser pensjonstilskudd'!$I$5:$I$224)</f>
        <v>#DIV/0!</v>
      </c>
      <c r="L144" s="173" t="e">
        <f t="shared" si="10"/>
        <v>#DIV/0!</v>
      </c>
      <c r="M144" s="147">
        <f t="shared" si="11"/>
        <v>0</v>
      </c>
      <c r="N144" s="32">
        <f>IFERROR(M144*'0. Oppsett'!$C$30,0)</f>
        <v>0</v>
      </c>
      <c r="O144" s="33">
        <v>0</v>
      </c>
      <c r="P144" s="33"/>
      <c r="Q144" s="33"/>
      <c r="R144" s="33"/>
      <c r="S144" s="33">
        <v>0</v>
      </c>
      <c r="T144" s="34">
        <v>0</v>
      </c>
      <c r="U144" s="35">
        <f t="shared" si="12"/>
        <v>0</v>
      </c>
    </row>
    <row r="145" spans="1:21" ht="15.75" thickBot="1" x14ac:dyDescent="0.3">
      <c r="A145" s="17">
        <v>141</v>
      </c>
      <c r="B145" s="150">
        <f>'X. Satser pensjonstilskudd'!B145</f>
        <v>0</v>
      </c>
      <c r="C145" s="18">
        <f>'X. Satser pensjonstilskudd'!C145</f>
        <v>0</v>
      </c>
      <c r="D145" s="18" t="str">
        <f>IFERROR(_xlfn.XLOOKUP($C145,factPensjon[Virksomhetsnr.],factPensjon[Forpliktelser]),"")</f>
        <v/>
      </c>
      <c r="E145" s="148">
        <f>SUMIFS(BasilRadata[Heltidsplasser
0-2],BasilRadata[År],'0. Oppsett'!$C$7-1,BasilRadata[1B. Organisasjonsnummer:],$C145)</f>
        <v>0</v>
      </c>
      <c r="F145" s="25">
        <f>'4. Selvkost og satser'!$B$54</f>
        <v>288170.9461329499</v>
      </c>
      <c r="G145" s="148">
        <f>SUMIFS(BasilRadata[Heltidsplasser
3-6],BasilRadata[År],'0. Oppsett'!$C$7-1,BasilRadata[1B. Organisasjonsnummer:],$C145)</f>
        <v>0</v>
      </c>
      <c r="H145" s="25">
        <f>'4. Selvkost og satser'!$B$55</f>
        <v>156604.23359926464</v>
      </c>
      <c r="I145" s="172">
        <f t="shared" si="9"/>
        <v>0</v>
      </c>
      <c r="J145" s="176">
        <f>SUMIFS(BasilRadata[8E. Oppgi antall årsverk barnehagen har pensjonsforpliktelser for:],BasilRadata[År],'0. Oppsett'!$C$7-1,BasilRadata[1B. Organisasjonsnummer:],'X. Utbetalingsmodul'!$C145)</f>
        <v>0</v>
      </c>
      <c r="K145" s="172" t="e">
        <f>_xlfn.XLOOKUP(C145,'X. Satser pensjonstilskudd'!$C$5:$C$224,'X. Satser pensjonstilskudd'!$I$5:$I$224)</f>
        <v>#DIV/0!</v>
      </c>
      <c r="L145" s="173" t="e">
        <f t="shared" si="10"/>
        <v>#DIV/0!</v>
      </c>
      <c r="M145" s="147">
        <f t="shared" si="11"/>
        <v>0</v>
      </c>
      <c r="N145" s="32">
        <f>IFERROR(M145*'0. Oppsett'!$C$30,0)</f>
        <v>0</v>
      </c>
      <c r="O145" s="33">
        <v>0</v>
      </c>
      <c r="P145" s="33"/>
      <c r="Q145" s="33"/>
      <c r="R145" s="33"/>
      <c r="S145" s="33">
        <v>0</v>
      </c>
      <c r="T145" s="34">
        <v>0</v>
      </c>
      <c r="U145" s="35">
        <f t="shared" si="12"/>
        <v>0</v>
      </c>
    </row>
    <row r="146" spans="1:21" ht="15.75" thickBot="1" x14ac:dyDescent="0.3">
      <c r="A146" s="21">
        <v>142</v>
      </c>
      <c r="B146" s="150">
        <f>'X. Satser pensjonstilskudd'!B146</f>
        <v>0</v>
      </c>
      <c r="C146" s="18">
        <f>'X. Satser pensjonstilskudd'!C146</f>
        <v>0</v>
      </c>
      <c r="D146" s="18" t="str">
        <f>IFERROR(_xlfn.XLOOKUP($C146,factPensjon[Virksomhetsnr.],factPensjon[Forpliktelser]),"")</f>
        <v/>
      </c>
      <c r="E146" s="148">
        <f>SUMIFS(BasilRadata[Heltidsplasser
0-2],BasilRadata[År],'0. Oppsett'!$C$7-1,BasilRadata[1B. Organisasjonsnummer:],$C146)</f>
        <v>0</v>
      </c>
      <c r="F146" s="25">
        <f>'4. Selvkost og satser'!$B$54</f>
        <v>288170.9461329499</v>
      </c>
      <c r="G146" s="148">
        <f>SUMIFS(BasilRadata[Heltidsplasser
3-6],BasilRadata[År],'0. Oppsett'!$C$7-1,BasilRadata[1B. Organisasjonsnummer:],$C146)</f>
        <v>0</v>
      </c>
      <c r="H146" s="25">
        <f>'4. Selvkost og satser'!$B$55</f>
        <v>156604.23359926464</v>
      </c>
      <c r="I146" s="172">
        <f t="shared" si="9"/>
        <v>0</v>
      </c>
      <c r="J146" s="176">
        <f>SUMIFS(BasilRadata[8E. Oppgi antall årsverk barnehagen har pensjonsforpliktelser for:],BasilRadata[År],'0. Oppsett'!$C$7-1,BasilRadata[1B. Organisasjonsnummer:],'X. Utbetalingsmodul'!$C146)</f>
        <v>0</v>
      </c>
      <c r="K146" s="172" t="e">
        <f>_xlfn.XLOOKUP(C146,'X. Satser pensjonstilskudd'!$C$5:$C$224,'X. Satser pensjonstilskudd'!$I$5:$I$224)</f>
        <v>#DIV/0!</v>
      </c>
      <c r="L146" s="173" t="e">
        <f t="shared" si="10"/>
        <v>#DIV/0!</v>
      </c>
      <c r="M146" s="147">
        <f t="shared" si="11"/>
        <v>0</v>
      </c>
      <c r="N146" s="32">
        <f>IFERROR(M146*'0. Oppsett'!$C$30,0)</f>
        <v>0</v>
      </c>
      <c r="O146" s="33">
        <v>0</v>
      </c>
      <c r="P146" s="33"/>
      <c r="Q146" s="33"/>
      <c r="R146" s="33"/>
      <c r="S146" s="33">
        <v>0</v>
      </c>
      <c r="T146" s="34">
        <v>0</v>
      </c>
      <c r="U146" s="35">
        <f t="shared" si="12"/>
        <v>0</v>
      </c>
    </row>
    <row r="147" spans="1:21" ht="15.75" thickBot="1" x14ac:dyDescent="0.3">
      <c r="A147" s="17">
        <v>143</v>
      </c>
      <c r="B147" s="150">
        <f>'X. Satser pensjonstilskudd'!B147</f>
        <v>0</v>
      </c>
      <c r="C147" s="18">
        <f>'X. Satser pensjonstilskudd'!C147</f>
        <v>0</v>
      </c>
      <c r="D147" s="18" t="str">
        <f>IFERROR(_xlfn.XLOOKUP($C147,factPensjon[Virksomhetsnr.],factPensjon[Forpliktelser]),"")</f>
        <v/>
      </c>
      <c r="E147" s="148">
        <f>SUMIFS(BasilRadata[Heltidsplasser
0-2],BasilRadata[År],'0. Oppsett'!$C$7-1,BasilRadata[1B. Organisasjonsnummer:],$C147)</f>
        <v>0</v>
      </c>
      <c r="F147" s="25">
        <f>'4. Selvkost og satser'!$B$54</f>
        <v>288170.9461329499</v>
      </c>
      <c r="G147" s="148">
        <f>SUMIFS(BasilRadata[Heltidsplasser
3-6],BasilRadata[År],'0. Oppsett'!$C$7-1,BasilRadata[1B. Organisasjonsnummer:],$C147)</f>
        <v>0</v>
      </c>
      <c r="H147" s="25">
        <f>'4. Selvkost og satser'!$B$55</f>
        <v>156604.23359926464</v>
      </c>
      <c r="I147" s="172">
        <f t="shared" si="9"/>
        <v>0</v>
      </c>
      <c r="J147" s="176">
        <f>SUMIFS(BasilRadata[8E. Oppgi antall årsverk barnehagen har pensjonsforpliktelser for:],BasilRadata[År],'0. Oppsett'!$C$7-1,BasilRadata[1B. Organisasjonsnummer:],'X. Utbetalingsmodul'!$C147)</f>
        <v>0</v>
      </c>
      <c r="K147" s="172" t="e">
        <f>_xlfn.XLOOKUP(C147,'X. Satser pensjonstilskudd'!$C$5:$C$224,'X. Satser pensjonstilskudd'!$I$5:$I$224)</f>
        <v>#DIV/0!</v>
      </c>
      <c r="L147" s="173" t="e">
        <f t="shared" si="10"/>
        <v>#DIV/0!</v>
      </c>
      <c r="M147" s="147">
        <f t="shared" si="11"/>
        <v>0</v>
      </c>
      <c r="N147" s="32">
        <f>IFERROR(M147*'0. Oppsett'!$C$30,0)</f>
        <v>0</v>
      </c>
      <c r="O147" s="33">
        <v>0</v>
      </c>
      <c r="P147" s="33"/>
      <c r="Q147" s="33"/>
      <c r="R147" s="33"/>
      <c r="S147" s="33">
        <v>0</v>
      </c>
      <c r="T147" s="34">
        <v>0</v>
      </c>
      <c r="U147" s="35">
        <f t="shared" si="12"/>
        <v>0</v>
      </c>
    </row>
    <row r="148" spans="1:21" ht="15.75" thickBot="1" x14ac:dyDescent="0.3">
      <c r="A148" s="21">
        <v>144</v>
      </c>
      <c r="B148" s="150">
        <f>'X. Satser pensjonstilskudd'!B148</f>
        <v>0</v>
      </c>
      <c r="C148" s="18">
        <f>'X. Satser pensjonstilskudd'!C148</f>
        <v>0</v>
      </c>
      <c r="D148" s="18" t="str">
        <f>IFERROR(_xlfn.XLOOKUP($C148,factPensjon[Virksomhetsnr.],factPensjon[Forpliktelser]),"")</f>
        <v/>
      </c>
      <c r="E148" s="148">
        <f>SUMIFS(BasilRadata[Heltidsplasser
0-2],BasilRadata[År],'0. Oppsett'!$C$7-1,BasilRadata[1B. Organisasjonsnummer:],$C148)</f>
        <v>0</v>
      </c>
      <c r="F148" s="25">
        <f>'4. Selvkost og satser'!$B$54</f>
        <v>288170.9461329499</v>
      </c>
      <c r="G148" s="148">
        <f>SUMIFS(BasilRadata[Heltidsplasser
3-6],BasilRadata[År],'0. Oppsett'!$C$7-1,BasilRadata[1B. Organisasjonsnummer:],$C148)</f>
        <v>0</v>
      </c>
      <c r="H148" s="25">
        <f>'4. Selvkost og satser'!$B$55</f>
        <v>156604.23359926464</v>
      </c>
      <c r="I148" s="172">
        <f t="shared" si="9"/>
        <v>0</v>
      </c>
      <c r="J148" s="176">
        <f>SUMIFS(BasilRadata[8E. Oppgi antall årsverk barnehagen har pensjonsforpliktelser for:],BasilRadata[År],'0. Oppsett'!$C$7-1,BasilRadata[1B. Organisasjonsnummer:],'X. Utbetalingsmodul'!$C148)</f>
        <v>0</v>
      </c>
      <c r="K148" s="172" t="e">
        <f>_xlfn.XLOOKUP(C148,'X. Satser pensjonstilskudd'!$C$5:$C$224,'X. Satser pensjonstilskudd'!$I$5:$I$224)</f>
        <v>#DIV/0!</v>
      </c>
      <c r="L148" s="173" t="e">
        <f t="shared" si="10"/>
        <v>#DIV/0!</v>
      </c>
      <c r="M148" s="147">
        <f t="shared" si="11"/>
        <v>0</v>
      </c>
      <c r="N148" s="32">
        <f>IFERROR(M148*'0. Oppsett'!$C$30,0)</f>
        <v>0</v>
      </c>
      <c r="O148" s="33">
        <v>0</v>
      </c>
      <c r="P148" s="33"/>
      <c r="Q148" s="33"/>
      <c r="R148" s="33"/>
      <c r="S148" s="33">
        <v>0</v>
      </c>
      <c r="T148" s="34">
        <v>0</v>
      </c>
      <c r="U148" s="35">
        <f t="shared" si="12"/>
        <v>0</v>
      </c>
    </row>
    <row r="149" spans="1:21" ht="15.75" thickBot="1" x14ac:dyDescent="0.3">
      <c r="A149" s="17">
        <v>145</v>
      </c>
      <c r="B149" s="150">
        <f>'X. Satser pensjonstilskudd'!B149</f>
        <v>0</v>
      </c>
      <c r="C149" s="18">
        <f>'X. Satser pensjonstilskudd'!C149</f>
        <v>0</v>
      </c>
      <c r="D149" s="18" t="str">
        <f>IFERROR(_xlfn.XLOOKUP($C149,factPensjon[Virksomhetsnr.],factPensjon[Forpliktelser]),"")</f>
        <v/>
      </c>
      <c r="E149" s="148">
        <f>SUMIFS(BasilRadata[Heltidsplasser
0-2],BasilRadata[År],'0. Oppsett'!$C$7-1,BasilRadata[1B. Organisasjonsnummer:],$C149)</f>
        <v>0</v>
      </c>
      <c r="F149" s="25">
        <f>'4. Selvkost og satser'!$B$54</f>
        <v>288170.9461329499</v>
      </c>
      <c r="G149" s="148">
        <f>SUMIFS(BasilRadata[Heltidsplasser
3-6],BasilRadata[År],'0. Oppsett'!$C$7-1,BasilRadata[1B. Organisasjonsnummer:],$C149)</f>
        <v>0</v>
      </c>
      <c r="H149" s="25">
        <f>'4. Selvkost og satser'!$B$55</f>
        <v>156604.23359926464</v>
      </c>
      <c r="I149" s="172">
        <f t="shared" si="9"/>
        <v>0</v>
      </c>
      <c r="J149" s="176">
        <f>SUMIFS(BasilRadata[8E. Oppgi antall årsverk barnehagen har pensjonsforpliktelser for:],BasilRadata[År],'0. Oppsett'!$C$7-1,BasilRadata[1B. Organisasjonsnummer:],'X. Utbetalingsmodul'!$C149)</f>
        <v>0</v>
      </c>
      <c r="K149" s="172" t="e">
        <f>_xlfn.XLOOKUP(C149,'X. Satser pensjonstilskudd'!$C$5:$C$224,'X. Satser pensjonstilskudd'!$I$5:$I$224)</f>
        <v>#DIV/0!</v>
      </c>
      <c r="L149" s="173" t="e">
        <f t="shared" si="10"/>
        <v>#DIV/0!</v>
      </c>
      <c r="M149" s="147">
        <f t="shared" si="11"/>
        <v>0</v>
      </c>
      <c r="N149" s="32">
        <f>IFERROR(M149*'0. Oppsett'!$C$30,0)</f>
        <v>0</v>
      </c>
      <c r="O149" s="33">
        <v>0</v>
      </c>
      <c r="P149" s="33"/>
      <c r="Q149" s="33"/>
      <c r="R149" s="33"/>
      <c r="S149" s="33">
        <v>0</v>
      </c>
      <c r="T149" s="34">
        <v>0</v>
      </c>
      <c r="U149" s="35">
        <f t="shared" si="12"/>
        <v>0</v>
      </c>
    </row>
    <row r="150" spans="1:21" ht="15.75" thickBot="1" x14ac:dyDescent="0.3">
      <c r="A150" s="21">
        <v>146</v>
      </c>
      <c r="B150" s="150">
        <f>'X. Satser pensjonstilskudd'!B150</f>
        <v>0</v>
      </c>
      <c r="C150" s="18">
        <f>'X. Satser pensjonstilskudd'!C150</f>
        <v>0</v>
      </c>
      <c r="D150" s="18" t="str">
        <f>IFERROR(_xlfn.XLOOKUP($C150,factPensjon[Virksomhetsnr.],factPensjon[Forpliktelser]),"")</f>
        <v/>
      </c>
      <c r="E150" s="148">
        <f>SUMIFS(BasilRadata[Heltidsplasser
0-2],BasilRadata[År],'0. Oppsett'!$C$7-1,BasilRadata[1B. Organisasjonsnummer:],$C150)</f>
        <v>0</v>
      </c>
      <c r="F150" s="25">
        <f>'4. Selvkost og satser'!$B$54</f>
        <v>288170.9461329499</v>
      </c>
      <c r="G150" s="148">
        <f>SUMIFS(BasilRadata[Heltidsplasser
3-6],BasilRadata[År],'0. Oppsett'!$C$7-1,BasilRadata[1B. Organisasjonsnummer:],$C150)</f>
        <v>0</v>
      </c>
      <c r="H150" s="25">
        <f>'4. Selvkost og satser'!$B$55</f>
        <v>156604.23359926464</v>
      </c>
      <c r="I150" s="172">
        <f t="shared" si="9"/>
        <v>0</v>
      </c>
      <c r="J150" s="176">
        <f>SUMIFS(BasilRadata[8E. Oppgi antall årsverk barnehagen har pensjonsforpliktelser for:],BasilRadata[År],'0. Oppsett'!$C$7-1,BasilRadata[1B. Organisasjonsnummer:],'X. Utbetalingsmodul'!$C150)</f>
        <v>0</v>
      </c>
      <c r="K150" s="172" t="e">
        <f>_xlfn.XLOOKUP(C150,'X. Satser pensjonstilskudd'!$C$5:$C$224,'X. Satser pensjonstilskudd'!$I$5:$I$224)</f>
        <v>#DIV/0!</v>
      </c>
      <c r="L150" s="173" t="e">
        <f t="shared" si="10"/>
        <v>#DIV/0!</v>
      </c>
      <c r="M150" s="147">
        <f t="shared" si="11"/>
        <v>0</v>
      </c>
      <c r="N150" s="32">
        <f>IFERROR(M150*'0. Oppsett'!$C$30,0)</f>
        <v>0</v>
      </c>
      <c r="O150" s="33">
        <v>0</v>
      </c>
      <c r="P150" s="33"/>
      <c r="Q150" s="33"/>
      <c r="R150" s="33"/>
      <c r="S150" s="33">
        <v>0</v>
      </c>
      <c r="T150" s="34">
        <v>0</v>
      </c>
      <c r="U150" s="35">
        <f t="shared" si="12"/>
        <v>0</v>
      </c>
    </row>
    <row r="151" spans="1:21" ht="15.75" thickBot="1" x14ac:dyDescent="0.3">
      <c r="A151" s="17">
        <v>147</v>
      </c>
      <c r="B151" s="150">
        <f>'X. Satser pensjonstilskudd'!B151</f>
        <v>0</v>
      </c>
      <c r="C151" s="18">
        <f>'X. Satser pensjonstilskudd'!C151</f>
        <v>0</v>
      </c>
      <c r="D151" s="18" t="str">
        <f>IFERROR(_xlfn.XLOOKUP($C151,factPensjon[Virksomhetsnr.],factPensjon[Forpliktelser]),"")</f>
        <v/>
      </c>
      <c r="E151" s="148">
        <f>SUMIFS(BasilRadata[Heltidsplasser
0-2],BasilRadata[År],'0. Oppsett'!$C$7-1,BasilRadata[1B. Organisasjonsnummer:],$C151)</f>
        <v>0</v>
      </c>
      <c r="F151" s="25">
        <f>'4. Selvkost og satser'!$B$54</f>
        <v>288170.9461329499</v>
      </c>
      <c r="G151" s="148">
        <f>SUMIFS(BasilRadata[Heltidsplasser
3-6],BasilRadata[År],'0. Oppsett'!$C$7-1,BasilRadata[1B. Organisasjonsnummer:],$C151)</f>
        <v>0</v>
      </c>
      <c r="H151" s="25">
        <f>'4. Selvkost og satser'!$B$55</f>
        <v>156604.23359926464</v>
      </c>
      <c r="I151" s="172">
        <f t="shared" si="9"/>
        <v>0</v>
      </c>
      <c r="J151" s="176">
        <f>SUMIFS(BasilRadata[8E. Oppgi antall årsverk barnehagen har pensjonsforpliktelser for:],BasilRadata[År],'0. Oppsett'!$C$7-1,BasilRadata[1B. Organisasjonsnummer:],'X. Utbetalingsmodul'!$C151)</f>
        <v>0</v>
      </c>
      <c r="K151" s="172" t="e">
        <f>_xlfn.XLOOKUP(C151,'X. Satser pensjonstilskudd'!$C$5:$C$224,'X. Satser pensjonstilskudd'!$I$5:$I$224)</f>
        <v>#DIV/0!</v>
      </c>
      <c r="L151" s="173" t="e">
        <f t="shared" si="10"/>
        <v>#DIV/0!</v>
      </c>
      <c r="M151" s="147">
        <f t="shared" si="11"/>
        <v>0</v>
      </c>
      <c r="N151" s="32">
        <f>IFERROR(M151*'0. Oppsett'!$C$30,0)</f>
        <v>0</v>
      </c>
      <c r="O151" s="33">
        <v>0</v>
      </c>
      <c r="P151" s="33"/>
      <c r="Q151" s="33"/>
      <c r="R151" s="33"/>
      <c r="S151" s="33">
        <v>0</v>
      </c>
      <c r="T151" s="34">
        <v>0</v>
      </c>
      <c r="U151" s="35">
        <f t="shared" si="12"/>
        <v>0</v>
      </c>
    </row>
    <row r="152" spans="1:21" ht="15.75" thickBot="1" x14ac:dyDescent="0.3">
      <c r="A152" s="21">
        <v>148</v>
      </c>
      <c r="B152" s="150">
        <f>'X. Satser pensjonstilskudd'!B152</f>
        <v>0</v>
      </c>
      <c r="C152" s="18">
        <f>'X. Satser pensjonstilskudd'!C152</f>
        <v>0</v>
      </c>
      <c r="D152" s="18" t="str">
        <f>IFERROR(_xlfn.XLOOKUP($C152,factPensjon[Virksomhetsnr.],factPensjon[Forpliktelser]),"")</f>
        <v/>
      </c>
      <c r="E152" s="148">
        <f>SUMIFS(BasilRadata[Heltidsplasser
0-2],BasilRadata[År],'0. Oppsett'!$C$7-1,BasilRadata[1B. Organisasjonsnummer:],$C152)</f>
        <v>0</v>
      </c>
      <c r="F152" s="25">
        <f>'4. Selvkost og satser'!$B$54</f>
        <v>288170.9461329499</v>
      </c>
      <c r="G152" s="148">
        <f>SUMIFS(BasilRadata[Heltidsplasser
3-6],BasilRadata[År],'0. Oppsett'!$C$7-1,BasilRadata[1B. Organisasjonsnummer:],$C152)</f>
        <v>0</v>
      </c>
      <c r="H152" s="25">
        <f>'4. Selvkost og satser'!$B$55</f>
        <v>156604.23359926464</v>
      </c>
      <c r="I152" s="172">
        <f t="shared" si="9"/>
        <v>0</v>
      </c>
      <c r="J152" s="176">
        <f>SUMIFS(BasilRadata[8E. Oppgi antall årsverk barnehagen har pensjonsforpliktelser for:],BasilRadata[År],'0. Oppsett'!$C$7-1,BasilRadata[1B. Organisasjonsnummer:],'X. Utbetalingsmodul'!$C152)</f>
        <v>0</v>
      </c>
      <c r="K152" s="172" t="e">
        <f>_xlfn.XLOOKUP(C152,'X. Satser pensjonstilskudd'!$C$5:$C$224,'X. Satser pensjonstilskudd'!$I$5:$I$224)</f>
        <v>#DIV/0!</v>
      </c>
      <c r="L152" s="173" t="e">
        <f t="shared" si="10"/>
        <v>#DIV/0!</v>
      </c>
      <c r="M152" s="147">
        <f t="shared" si="11"/>
        <v>0</v>
      </c>
      <c r="N152" s="32">
        <f>IFERROR(M152*'0. Oppsett'!$C$30,0)</f>
        <v>0</v>
      </c>
      <c r="O152" s="33">
        <v>0</v>
      </c>
      <c r="P152" s="33"/>
      <c r="Q152" s="33"/>
      <c r="R152" s="33"/>
      <c r="S152" s="33">
        <v>0</v>
      </c>
      <c r="T152" s="34">
        <v>0</v>
      </c>
      <c r="U152" s="35">
        <f t="shared" si="12"/>
        <v>0</v>
      </c>
    </row>
    <row r="153" spans="1:21" ht="15.75" thickBot="1" x14ac:dyDescent="0.3">
      <c r="A153" s="17">
        <v>149</v>
      </c>
      <c r="B153" s="150">
        <f>'X. Satser pensjonstilskudd'!B153</f>
        <v>0</v>
      </c>
      <c r="C153" s="18">
        <f>'X. Satser pensjonstilskudd'!C153</f>
        <v>0</v>
      </c>
      <c r="D153" s="18" t="str">
        <f>IFERROR(_xlfn.XLOOKUP($C153,factPensjon[Virksomhetsnr.],factPensjon[Forpliktelser]),"")</f>
        <v/>
      </c>
      <c r="E153" s="148">
        <f>SUMIFS(BasilRadata[Heltidsplasser
0-2],BasilRadata[År],'0. Oppsett'!$C$7-1,BasilRadata[1B. Organisasjonsnummer:],$C153)</f>
        <v>0</v>
      </c>
      <c r="F153" s="25">
        <f>'4. Selvkost og satser'!$B$54</f>
        <v>288170.9461329499</v>
      </c>
      <c r="G153" s="148">
        <f>SUMIFS(BasilRadata[Heltidsplasser
3-6],BasilRadata[År],'0. Oppsett'!$C$7-1,BasilRadata[1B. Organisasjonsnummer:],$C153)</f>
        <v>0</v>
      </c>
      <c r="H153" s="25">
        <f>'4. Selvkost og satser'!$B$55</f>
        <v>156604.23359926464</v>
      </c>
      <c r="I153" s="172">
        <f t="shared" si="9"/>
        <v>0</v>
      </c>
      <c r="J153" s="176">
        <f>SUMIFS(BasilRadata[8E. Oppgi antall årsverk barnehagen har pensjonsforpliktelser for:],BasilRadata[År],'0. Oppsett'!$C$7-1,BasilRadata[1B. Organisasjonsnummer:],'X. Utbetalingsmodul'!$C153)</f>
        <v>0</v>
      </c>
      <c r="K153" s="172" t="e">
        <f>_xlfn.XLOOKUP(C153,'X. Satser pensjonstilskudd'!$C$5:$C$224,'X. Satser pensjonstilskudd'!$I$5:$I$224)</f>
        <v>#DIV/0!</v>
      </c>
      <c r="L153" s="173" t="e">
        <f t="shared" si="10"/>
        <v>#DIV/0!</v>
      </c>
      <c r="M153" s="147">
        <f t="shared" si="11"/>
        <v>0</v>
      </c>
      <c r="N153" s="32">
        <f>IFERROR(M153*'0. Oppsett'!$C$30,0)</f>
        <v>0</v>
      </c>
      <c r="O153" s="33">
        <v>0</v>
      </c>
      <c r="P153" s="33"/>
      <c r="Q153" s="33"/>
      <c r="R153" s="33"/>
      <c r="S153" s="33">
        <v>0</v>
      </c>
      <c r="T153" s="34">
        <v>0</v>
      </c>
      <c r="U153" s="35">
        <f t="shared" si="12"/>
        <v>0</v>
      </c>
    </row>
    <row r="154" spans="1:21" ht="15.75" thickBot="1" x14ac:dyDescent="0.3">
      <c r="A154" s="21">
        <v>150</v>
      </c>
      <c r="B154" s="150">
        <f>'X. Satser pensjonstilskudd'!B154</f>
        <v>0</v>
      </c>
      <c r="C154" s="18">
        <f>'X. Satser pensjonstilskudd'!C154</f>
        <v>0</v>
      </c>
      <c r="D154" s="18" t="str">
        <f>IFERROR(_xlfn.XLOOKUP($C154,factPensjon[Virksomhetsnr.],factPensjon[Forpliktelser]),"")</f>
        <v/>
      </c>
      <c r="E154" s="148">
        <f>SUMIFS(BasilRadata[Heltidsplasser
0-2],BasilRadata[År],'0. Oppsett'!$C$7-1,BasilRadata[1B. Organisasjonsnummer:],$C154)</f>
        <v>0</v>
      </c>
      <c r="F154" s="25">
        <f>'4. Selvkost og satser'!$B$54</f>
        <v>288170.9461329499</v>
      </c>
      <c r="G154" s="148">
        <f>SUMIFS(BasilRadata[Heltidsplasser
3-6],BasilRadata[År],'0. Oppsett'!$C$7-1,BasilRadata[1B. Organisasjonsnummer:],$C154)</f>
        <v>0</v>
      </c>
      <c r="H154" s="25">
        <f>'4. Selvkost og satser'!$B$55</f>
        <v>156604.23359926464</v>
      </c>
      <c r="I154" s="172">
        <f t="shared" si="9"/>
        <v>0</v>
      </c>
      <c r="J154" s="176">
        <f>SUMIFS(BasilRadata[8E. Oppgi antall årsverk barnehagen har pensjonsforpliktelser for:],BasilRadata[År],'0. Oppsett'!$C$7-1,BasilRadata[1B. Organisasjonsnummer:],'X. Utbetalingsmodul'!$C154)</f>
        <v>0</v>
      </c>
      <c r="K154" s="172" t="e">
        <f>_xlfn.XLOOKUP(C154,'X. Satser pensjonstilskudd'!$C$5:$C$224,'X. Satser pensjonstilskudd'!$I$5:$I$224)</f>
        <v>#DIV/0!</v>
      </c>
      <c r="L154" s="173" t="e">
        <f t="shared" si="10"/>
        <v>#DIV/0!</v>
      </c>
      <c r="M154" s="147">
        <f t="shared" si="11"/>
        <v>0</v>
      </c>
      <c r="N154" s="32">
        <f>IFERROR(M154*'0. Oppsett'!$C$30,0)</f>
        <v>0</v>
      </c>
      <c r="O154" s="33">
        <v>0</v>
      </c>
      <c r="P154" s="33"/>
      <c r="Q154" s="33"/>
      <c r="R154" s="33"/>
      <c r="S154" s="33">
        <v>0</v>
      </c>
      <c r="T154" s="34">
        <v>0</v>
      </c>
      <c r="U154" s="35">
        <f t="shared" si="12"/>
        <v>0</v>
      </c>
    </row>
    <row r="155" spans="1:21" ht="15.75" thickBot="1" x14ac:dyDescent="0.3">
      <c r="A155" s="17">
        <v>151</v>
      </c>
      <c r="B155" s="150">
        <f>'X. Satser pensjonstilskudd'!B155</f>
        <v>0</v>
      </c>
      <c r="C155" s="18">
        <f>'X. Satser pensjonstilskudd'!C155</f>
        <v>0</v>
      </c>
      <c r="D155" s="18" t="str">
        <f>IFERROR(_xlfn.XLOOKUP($C155,factPensjon[Virksomhetsnr.],factPensjon[Forpliktelser]),"")</f>
        <v/>
      </c>
      <c r="E155" s="148">
        <f>SUMIFS(BasilRadata[Heltidsplasser
0-2],BasilRadata[År],'0. Oppsett'!$C$7-1,BasilRadata[1B. Organisasjonsnummer:],$C155)</f>
        <v>0</v>
      </c>
      <c r="F155" s="25">
        <f>'4. Selvkost og satser'!$B$54</f>
        <v>288170.9461329499</v>
      </c>
      <c r="G155" s="148">
        <f>SUMIFS(BasilRadata[Heltidsplasser
3-6],BasilRadata[År],'0. Oppsett'!$C$7-1,BasilRadata[1B. Organisasjonsnummer:],$C155)</f>
        <v>0</v>
      </c>
      <c r="H155" s="25">
        <f>'4. Selvkost og satser'!$B$55</f>
        <v>156604.23359926464</v>
      </c>
      <c r="I155" s="172">
        <f t="shared" si="9"/>
        <v>0</v>
      </c>
      <c r="J155" s="176">
        <f>SUMIFS(BasilRadata[8E. Oppgi antall årsverk barnehagen har pensjonsforpliktelser for:],BasilRadata[År],'0. Oppsett'!$C$7-1,BasilRadata[1B. Organisasjonsnummer:],'X. Utbetalingsmodul'!$C155)</f>
        <v>0</v>
      </c>
      <c r="K155" s="172" t="e">
        <f>_xlfn.XLOOKUP(C155,'X. Satser pensjonstilskudd'!$C$5:$C$224,'X. Satser pensjonstilskudd'!$I$5:$I$224)</f>
        <v>#DIV/0!</v>
      </c>
      <c r="L155" s="173" t="e">
        <f t="shared" si="10"/>
        <v>#DIV/0!</v>
      </c>
      <c r="M155" s="147">
        <f t="shared" si="11"/>
        <v>0</v>
      </c>
      <c r="N155" s="32">
        <f>IFERROR(M155*'0. Oppsett'!$C$30,0)</f>
        <v>0</v>
      </c>
      <c r="O155" s="33">
        <v>0</v>
      </c>
      <c r="P155" s="33"/>
      <c r="Q155" s="33"/>
      <c r="R155" s="33"/>
      <c r="S155" s="33">
        <v>0</v>
      </c>
      <c r="T155" s="34">
        <v>0</v>
      </c>
      <c r="U155" s="35">
        <f t="shared" si="12"/>
        <v>0</v>
      </c>
    </row>
    <row r="156" spans="1:21" ht="15.75" thickBot="1" x14ac:dyDescent="0.3">
      <c r="A156" s="21">
        <v>152</v>
      </c>
      <c r="B156" s="150">
        <f>'X. Satser pensjonstilskudd'!B156</f>
        <v>0</v>
      </c>
      <c r="C156" s="18">
        <f>'X. Satser pensjonstilskudd'!C156</f>
        <v>0</v>
      </c>
      <c r="D156" s="18" t="str">
        <f>IFERROR(_xlfn.XLOOKUP($C156,factPensjon[Virksomhetsnr.],factPensjon[Forpliktelser]),"")</f>
        <v/>
      </c>
      <c r="E156" s="148">
        <f>SUMIFS(BasilRadata[Heltidsplasser
0-2],BasilRadata[År],'0. Oppsett'!$C$7-1,BasilRadata[1B. Organisasjonsnummer:],$C156)</f>
        <v>0</v>
      </c>
      <c r="F156" s="25">
        <f>'4. Selvkost og satser'!$B$54</f>
        <v>288170.9461329499</v>
      </c>
      <c r="G156" s="148">
        <f>SUMIFS(BasilRadata[Heltidsplasser
3-6],BasilRadata[År],'0. Oppsett'!$C$7-1,BasilRadata[1B. Organisasjonsnummer:],$C156)</f>
        <v>0</v>
      </c>
      <c r="H156" s="25">
        <f>'4. Selvkost og satser'!$B$55</f>
        <v>156604.23359926464</v>
      </c>
      <c r="I156" s="172">
        <f t="shared" si="9"/>
        <v>0</v>
      </c>
      <c r="J156" s="176">
        <f>SUMIFS(BasilRadata[8E. Oppgi antall årsverk barnehagen har pensjonsforpliktelser for:],BasilRadata[År],'0. Oppsett'!$C$7-1,BasilRadata[1B. Organisasjonsnummer:],'X. Utbetalingsmodul'!$C156)</f>
        <v>0</v>
      </c>
      <c r="K156" s="172" t="e">
        <f>_xlfn.XLOOKUP(C156,'X. Satser pensjonstilskudd'!$C$5:$C$224,'X. Satser pensjonstilskudd'!$I$5:$I$224)</f>
        <v>#DIV/0!</v>
      </c>
      <c r="L156" s="173" t="e">
        <f t="shared" si="10"/>
        <v>#DIV/0!</v>
      </c>
      <c r="M156" s="147">
        <f t="shared" si="11"/>
        <v>0</v>
      </c>
      <c r="N156" s="32">
        <f>IFERROR(M156*'0. Oppsett'!$C$30,0)</f>
        <v>0</v>
      </c>
      <c r="O156" s="33">
        <v>0</v>
      </c>
      <c r="P156" s="33"/>
      <c r="Q156" s="33"/>
      <c r="R156" s="33"/>
      <c r="S156" s="33">
        <v>0</v>
      </c>
      <c r="T156" s="34">
        <v>0</v>
      </c>
      <c r="U156" s="35">
        <f t="shared" si="12"/>
        <v>0</v>
      </c>
    </row>
    <row r="157" spans="1:21" ht="15.75" thickBot="1" x14ac:dyDescent="0.3">
      <c r="A157" s="17">
        <v>153</v>
      </c>
      <c r="B157" s="150">
        <f>'X. Satser pensjonstilskudd'!B157</f>
        <v>0</v>
      </c>
      <c r="C157" s="18">
        <f>'X. Satser pensjonstilskudd'!C157</f>
        <v>0</v>
      </c>
      <c r="D157" s="18" t="str">
        <f>IFERROR(_xlfn.XLOOKUP($C157,factPensjon[Virksomhetsnr.],factPensjon[Forpliktelser]),"")</f>
        <v/>
      </c>
      <c r="E157" s="148">
        <f>SUMIFS(BasilRadata[Heltidsplasser
0-2],BasilRadata[År],'0. Oppsett'!$C$7-1,BasilRadata[1B. Organisasjonsnummer:],$C157)</f>
        <v>0</v>
      </c>
      <c r="F157" s="25">
        <f>'4. Selvkost og satser'!$B$54</f>
        <v>288170.9461329499</v>
      </c>
      <c r="G157" s="148">
        <f>SUMIFS(BasilRadata[Heltidsplasser
3-6],BasilRadata[År],'0. Oppsett'!$C$7-1,BasilRadata[1B. Organisasjonsnummer:],$C157)</f>
        <v>0</v>
      </c>
      <c r="H157" s="25">
        <f>'4. Selvkost og satser'!$B$55</f>
        <v>156604.23359926464</v>
      </c>
      <c r="I157" s="172">
        <f t="shared" si="9"/>
        <v>0</v>
      </c>
      <c r="J157" s="176">
        <f>SUMIFS(BasilRadata[8E. Oppgi antall årsverk barnehagen har pensjonsforpliktelser for:],BasilRadata[År],'0. Oppsett'!$C$7-1,BasilRadata[1B. Organisasjonsnummer:],'X. Utbetalingsmodul'!$C157)</f>
        <v>0</v>
      </c>
      <c r="K157" s="172" t="e">
        <f>_xlfn.XLOOKUP(C157,'X. Satser pensjonstilskudd'!$C$5:$C$224,'X. Satser pensjonstilskudd'!$I$5:$I$224)</f>
        <v>#DIV/0!</v>
      </c>
      <c r="L157" s="173" t="e">
        <f t="shared" si="10"/>
        <v>#DIV/0!</v>
      </c>
      <c r="M157" s="147">
        <f t="shared" si="11"/>
        <v>0</v>
      </c>
      <c r="N157" s="32">
        <f>IFERROR(M157*'0. Oppsett'!$C$30,0)</f>
        <v>0</v>
      </c>
      <c r="O157" s="33">
        <v>0</v>
      </c>
      <c r="P157" s="33"/>
      <c r="Q157" s="33"/>
      <c r="R157" s="33"/>
      <c r="S157" s="33">
        <v>0</v>
      </c>
      <c r="T157" s="34">
        <v>0</v>
      </c>
      <c r="U157" s="35">
        <f t="shared" si="12"/>
        <v>0</v>
      </c>
    </row>
    <row r="158" spans="1:21" ht="15.75" thickBot="1" x14ac:dyDescent="0.3">
      <c r="A158" s="21">
        <v>154</v>
      </c>
      <c r="B158" s="150">
        <f>'X. Satser pensjonstilskudd'!B158</f>
        <v>0</v>
      </c>
      <c r="C158" s="18">
        <f>'X. Satser pensjonstilskudd'!C158</f>
        <v>0</v>
      </c>
      <c r="D158" s="18" t="str">
        <f>IFERROR(_xlfn.XLOOKUP($C158,factPensjon[Virksomhetsnr.],factPensjon[Forpliktelser]),"")</f>
        <v/>
      </c>
      <c r="E158" s="148">
        <f>SUMIFS(BasilRadata[Heltidsplasser
0-2],BasilRadata[År],'0. Oppsett'!$C$7-1,BasilRadata[1B. Organisasjonsnummer:],$C158)</f>
        <v>0</v>
      </c>
      <c r="F158" s="25">
        <f>'4. Selvkost og satser'!$B$54</f>
        <v>288170.9461329499</v>
      </c>
      <c r="G158" s="148">
        <f>SUMIFS(BasilRadata[Heltidsplasser
3-6],BasilRadata[År],'0. Oppsett'!$C$7-1,BasilRadata[1B. Organisasjonsnummer:],$C158)</f>
        <v>0</v>
      </c>
      <c r="H158" s="25">
        <f>'4. Selvkost og satser'!$B$55</f>
        <v>156604.23359926464</v>
      </c>
      <c r="I158" s="172">
        <f t="shared" si="9"/>
        <v>0</v>
      </c>
      <c r="J158" s="176">
        <f>SUMIFS(BasilRadata[8E. Oppgi antall årsverk barnehagen har pensjonsforpliktelser for:],BasilRadata[År],'0. Oppsett'!$C$7-1,BasilRadata[1B. Organisasjonsnummer:],'X. Utbetalingsmodul'!$C158)</f>
        <v>0</v>
      </c>
      <c r="K158" s="172" t="e">
        <f>_xlfn.XLOOKUP(C158,'X. Satser pensjonstilskudd'!$C$5:$C$224,'X. Satser pensjonstilskudd'!$I$5:$I$224)</f>
        <v>#DIV/0!</v>
      </c>
      <c r="L158" s="173" t="e">
        <f t="shared" si="10"/>
        <v>#DIV/0!</v>
      </c>
      <c r="M158" s="147">
        <f t="shared" si="11"/>
        <v>0</v>
      </c>
      <c r="N158" s="32">
        <f>IFERROR(M158*'0. Oppsett'!$C$30,0)</f>
        <v>0</v>
      </c>
      <c r="O158" s="33">
        <v>0</v>
      </c>
      <c r="P158" s="33"/>
      <c r="Q158" s="33"/>
      <c r="R158" s="33"/>
      <c r="S158" s="33">
        <v>0</v>
      </c>
      <c r="T158" s="34">
        <v>0</v>
      </c>
      <c r="U158" s="35">
        <f t="shared" si="12"/>
        <v>0</v>
      </c>
    </row>
    <row r="159" spans="1:21" ht="15.75" thickBot="1" x14ac:dyDescent="0.3">
      <c r="A159" s="17">
        <v>155</v>
      </c>
      <c r="B159" s="150">
        <f>'X. Satser pensjonstilskudd'!B159</f>
        <v>0</v>
      </c>
      <c r="C159" s="18">
        <f>'X. Satser pensjonstilskudd'!C159</f>
        <v>0</v>
      </c>
      <c r="D159" s="18" t="str">
        <f>IFERROR(_xlfn.XLOOKUP($C159,factPensjon[Virksomhetsnr.],factPensjon[Forpliktelser]),"")</f>
        <v/>
      </c>
      <c r="E159" s="148">
        <f>SUMIFS(BasilRadata[Heltidsplasser
0-2],BasilRadata[År],'0. Oppsett'!$C$7-1,BasilRadata[1B. Organisasjonsnummer:],$C159)</f>
        <v>0</v>
      </c>
      <c r="F159" s="25">
        <f>'4. Selvkost og satser'!$B$54</f>
        <v>288170.9461329499</v>
      </c>
      <c r="G159" s="148">
        <f>SUMIFS(BasilRadata[Heltidsplasser
3-6],BasilRadata[År],'0. Oppsett'!$C$7-1,BasilRadata[1B. Organisasjonsnummer:],$C159)</f>
        <v>0</v>
      </c>
      <c r="H159" s="25">
        <f>'4. Selvkost og satser'!$B$55</f>
        <v>156604.23359926464</v>
      </c>
      <c r="I159" s="172">
        <f t="shared" si="9"/>
        <v>0</v>
      </c>
      <c r="J159" s="176">
        <f>SUMIFS(BasilRadata[8E. Oppgi antall årsverk barnehagen har pensjonsforpliktelser for:],BasilRadata[År],'0. Oppsett'!$C$7-1,BasilRadata[1B. Organisasjonsnummer:],'X. Utbetalingsmodul'!$C159)</f>
        <v>0</v>
      </c>
      <c r="K159" s="172" t="e">
        <f>_xlfn.XLOOKUP(C159,'X. Satser pensjonstilskudd'!$C$5:$C$224,'X. Satser pensjonstilskudd'!$I$5:$I$224)</f>
        <v>#DIV/0!</v>
      </c>
      <c r="L159" s="173" t="e">
        <f t="shared" si="10"/>
        <v>#DIV/0!</v>
      </c>
      <c r="M159" s="147">
        <f t="shared" si="11"/>
        <v>0</v>
      </c>
      <c r="N159" s="32">
        <f>IFERROR(M159*'0. Oppsett'!$C$30,0)</f>
        <v>0</v>
      </c>
      <c r="O159" s="33">
        <v>0</v>
      </c>
      <c r="P159" s="33"/>
      <c r="Q159" s="33"/>
      <c r="R159" s="33"/>
      <c r="S159" s="33">
        <v>0</v>
      </c>
      <c r="T159" s="34">
        <v>0</v>
      </c>
      <c r="U159" s="35">
        <f t="shared" si="12"/>
        <v>0</v>
      </c>
    </row>
    <row r="160" spans="1:21" ht="15.75" thickBot="1" x14ac:dyDescent="0.3">
      <c r="A160" s="21">
        <v>156</v>
      </c>
      <c r="B160" s="150">
        <f>'X. Satser pensjonstilskudd'!B160</f>
        <v>0</v>
      </c>
      <c r="C160" s="18">
        <f>'X. Satser pensjonstilskudd'!C160</f>
        <v>0</v>
      </c>
      <c r="D160" s="18" t="str">
        <f>IFERROR(_xlfn.XLOOKUP($C160,factPensjon[Virksomhetsnr.],factPensjon[Forpliktelser]),"")</f>
        <v/>
      </c>
      <c r="E160" s="148">
        <f>SUMIFS(BasilRadata[Heltidsplasser
0-2],BasilRadata[År],'0. Oppsett'!$C$7-1,BasilRadata[1B. Organisasjonsnummer:],$C160)</f>
        <v>0</v>
      </c>
      <c r="F160" s="25">
        <f>'4. Selvkost og satser'!$B$54</f>
        <v>288170.9461329499</v>
      </c>
      <c r="G160" s="148">
        <f>SUMIFS(BasilRadata[Heltidsplasser
3-6],BasilRadata[År],'0. Oppsett'!$C$7-1,BasilRadata[1B. Organisasjonsnummer:],$C160)</f>
        <v>0</v>
      </c>
      <c r="H160" s="25">
        <f>'4. Selvkost og satser'!$B$55</f>
        <v>156604.23359926464</v>
      </c>
      <c r="I160" s="172">
        <f t="shared" si="9"/>
        <v>0</v>
      </c>
      <c r="J160" s="176">
        <f>SUMIFS(BasilRadata[8E. Oppgi antall årsverk barnehagen har pensjonsforpliktelser for:],BasilRadata[År],'0. Oppsett'!$C$7-1,BasilRadata[1B. Organisasjonsnummer:],'X. Utbetalingsmodul'!$C160)</f>
        <v>0</v>
      </c>
      <c r="K160" s="172" t="e">
        <f>_xlfn.XLOOKUP(C160,'X. Satser pensjonstilskudd'!$C$5:$C$224,'X. Satser pensjonstilskudd'!$I$5:$I$224)</f>
        <v>#DIV/0!</v>
      </c>
      <c r="L160" s="173" t="e">
        <f t="shared" si="10"/>
        <v>#DIV/0!</v>
      </c>
      <c r="M160" s="147">
        <f t="shared" si="11"/>
        <v>0</v>
      </c>
      <c r="N160" s="32">
        <f>IFERROR(M160*'0. Oppsett'!$C$30,0)</f>
        <v>0</v>
      </c>
      <c r="O160" s="33">
        <v>0</v>
      </c>
      <c r="P160" s="33"/>
      <c r="Q160" s="33"/>
      <c r="R160" s="33"/>
      <c r="S160" s="33">
        <v>0</v>
      </c>
      <c r="T160" s="34">
        <v>0</v>
      </c>
      <c r="U160" s="35">
        <f t="shared" si="12"/>
        <v>0</v>
      </c>
    </row>
    <row r="161" spans="1:21" ht="15.75" thickBot="1" x14ac:dyDescent="0.3">
      <c r="A161" s="17">
        <v>157</v>
      </c>
      <c r="B161" s="150">
        <f>'X. Satser pensjonstilskudd'!B161</f>
        <v>0</v>
      </c>
      <c r="C161" s="18">
        <f>'X. Satser pensjonstilskudd'!C161</f>
        <v>0</v>
      </c>
      <c r="D161" s="18" t="str">
        <f>IFERROR(_xlfn.XLOOKUP($C161,factPensjon[Virksomhetsnr.],factPensjon[Forpliktelser]),"")</f>
        <v/>
      </c>
      <c r="E161" s="148">
        <f>SUMIFS(BasilRadata[Heltidsplasser
0-2],BasilRadata[År],'0. Oppsett'!$C$7-1,BasilRadata[1B. Organisasjonsnummer:],$C161)</f>
        <v>0</v>
      </c>
      <c r="F161" s="25">
        <f>'4. Selvkost og satser'!$B$54</f>
        <v>288170.9461329499</v>
      </c>
      <c r="G161" s="148">
        <f>SUMIFS(BasilRadata[Heltidsplasser
3-6],BasilRadata[År],'0. Oppsett'!$C$7-1,BasilRadata[1B. Organisasjonsnummer:],$C161)</f>
        <v>0</v>
      </c>
      <c r="H161" s="25">
        <f>'4. Selvkost og satser'!$B$55</f>
        <v>156604.23359926464</v>
      </c>
      <c r="I161" s="172">
        <f t="shared" si="9"/>
        <v>0</v>
      </c>
      <c r="J161" s="176">
        <f>SUMIFS(BasilRadata[8E. Oppgi antall årsverk barnehagen har pensjonsforpliktelser for:],BasilRadata[År],'0. Oppsett'!$C$7-1,BasilRadata[1B. Organisasjonsnummer:],'X. Utbetalingsmodul'!$C161)</f>
        <v>0</v>
      </c>
      <c r="K161" s="172" t="e">
        <f>_xlfn.XLOOKUP(C161,'X. Satser pensjonstilskudd'!$C$5:$C$224,'X. Satser pensjonstilskudd'!$I$5:$I$224)</f>
        <v>#DIV/0!</v>
      </c>
      <c r="L161" s="173" t="e">
        <f t="shared" si="10"/>
        <v>#DIV/0!</v>
      </c>
      <c r="M161" s="147">
        <f t="shared" si="11"/>
        <v>0</v>
      </c>
      <c r="N161" s="32">
        <f>IFERROR(M161*'0. Oppsett'!$C$30,0)</f>
        <v>0</v>
      </c>
      <c r="O161" s="33">
        <v>0</v>
      </c>
      <c r="P161" s="33"/>
      <c r="Q161" s="33"/>
      <c r="R161" s="33"/>
      <c r="S161" s="33">
        <v>0</v>
      </c>
      <c r="T161" s="34">
        <v>0</v>
      </c>
      <c r="U161" s="35">
        <f t="shared" si="12"/>
        <v>0</v>
      </c>
    </row>
    <row r="162" spans="1:21" ht="15.75" thickBot="1" x14ac:dyDescent="0.3">
      <c r="A162" s="21">
        <v>158</v>
      </c>
      <c r="B162" s="150">
        <f>'X. Satser pensjonstilskudd'!B162</f>
        <v>0</v>
      </c>
      <c r="C162" s="18">
        <f>'X. Satser pensjonstilskudd'!C162</f>
        <v>0</v>
      </c>
      <c r="D162" s="18" t="str">
        <f>IFERROR(_xlfn.XLOOKUP($C162,factPensjon[Virksomhetsnr.],factPensjon[Forpliktelser]),"")</f>
        <v/>
      </c>
      <c r="E162" s="148">
        <f>SUMIFS(BasilRadata[Heltidsplasser
0-2],BasilRadata[År],'0. Oppsett'!$C$7-1,BasilRadata[1B. Organisasjonsnummer:],$C162)</f>
        <v>0</v>
      </c>
      <c r="F162" s="25">
        <f>'4. Selvkost og satser'!$B$54</f>
        <v>288170.9461329499</v>
      </c>
      <c r="G162" s="148">
        <f>SUMIFS(BasilRadata[Heltidsplasser
3-6],BasilRadata[År],'0. Oppsett'!$C$7-1,BasilRadata[1B. Organisasjonsnummer:],$C162)</f>
        <v>0</v>
      </c>
      <c r="H162" s="25">
        <f>'4. Selvkost og satser'!$B$55</f>
        <v>156604.23359926464</v>
      </c>
      <c r="I162" s="172">
        <f t="shared" si="9"/>
        <v>0</v>
      </c>
      <c r="J162" s="176">
        <f>SUMIFS(BasilRadata[8E. Oppgi antall årsverk barnehagen har pensjonsforpliktelser for:],BasilRadata[År],'0. Oppsett'!$C$7-1,BasilRadata[1B. Organisasjonsnummer:],'X. Utbetalingsmodul'!$C162)</f>
        <v>0</v>
      </c>
      <c r="K162" s="172" t="e">
        <f>_xlfn.XLOOKUP(C162,'X. Satser pensjonstilskudd'!$C$5:$C$224,'X. Satser pensjonstilskudd'!$I$5:$I$224)</f>
        <v>#DIV/0!</v>
      </c>
      <c r="L162" s="173" t="e">
        <f t="shared" si="10"/>
        <v>#DIV/0!</v>
      </c>
      <c r="M162" s="147">
        <f t="shared" si="11"/>
        <v>0</v>
      </c>
      <c r="N162" s="32">
        <f>IFERROR(M162*'0. Oppsett'!$C$30,0)</f>
        <v>0</v>
      </c>
      <c r="O162" s="33">
        <v>0</v>
      </c>
      <c r="P162" s="33"/>
      <c r="Q162" s="33"/>
      <c r="R162" s="33"/>
      <c r="S162" s="33">
        <v>0</v>
      </c>
      <c r="T162" s="34">
        <v>0</v>
      </c>
      <c r="U162" s="35">
        <f t="shared" si="12"/>
        <v>0</v>
      </c>
    </row>
    <row r="163" spans="1:21" ht="15.75" thickBot="1" x14ac:dyDescent="0.3">
      <c r="A163" s="17">
        <v>159</v>
      </c>
      <c r="B163" s="150">
        <f>'X. Satser pensjonstilskudd'!B163</f>
        <v>0</v>
      </c>
      <c r="C163" s="18">
        <f>'X. Satser pensjonstilskudd'!C163</f>
        <v>0</v>
      </c>
      <c r="D163" s="18" t="str">
        <f>IFERROR(_xlfn.XLOOKUP($C163,factPensjon[Virksomhetsnr.],factPensjon[Forpliktelser]),"")</f>
        <v/>
      </c>
      <c r="E163" s="148">
        <f>SUMIFS(BasilRadata[Heltidsplasser
0-2],BasilRadata[År],'0. Oppsett'!$C$7-1,BasilRadata[1B. Organisasjonsnummer:],$C163)</f>
        <v>0</v>
      </c>
      <c r="F163" s="25">
        <f>'4. Selvkost og satser'!$B$54</f>
        <v>288170.9461329499</v>
      </c>
      <c r="G163" s="148">
        <f>SUMIFS(BasilRadata[Heltidsplasser
3-6],BasilRadata[År],'0. Oppsett'!$C$7-1,BasilRadata[1B. Organisasjonsnummer:],$C163)</f>
        <v>0</v>
      </c>
      <c r="H163" s="25">
        <f>'4. Selvkost og satser'!$B$55</f>
        <v>156604.23359926464</v>
      </c>
      <c r="I163" s="172">
        <f t="shared" si="9"/>
        <v>0</v>
      </c>
      <c r="J163" s="176">
        <f>SUMIFS(BasilRadata[8E. Oppgi antall årsverk barnehagen har pensjonsforpliktelser for:],BasilRadata[År],'0. Oppsett'!$C$7-1,BasilRadata[1B. Organisasjonsnummer:],'X. Utbetalingsmodul'!$C163)</f>
        <v>0</v>
      </c>
      <c r="K163" s="172" t="e">
        <f>_xlfn.XLOOKUP(C163,'X. Satser pensjonstilskudd'!$C$5:$C$224,'X. Satser pensjonstilskudd'!$I$5:$I$224)</f>
        <v>#DIV/0!</v>
      </c>
      <c r="L163" s="173" t="e">
        <f t="shared" si="10"/>
        <v>#DIV/0!</v>
      </c>
      <c r="M163" s="147">
        <f t="shared" si="11"/>
        <v>0</v>
      </c>
      <c r="N163" s="32">
        <f>IFERROR(M163*'0. Oppsett'!$C$30,0)</f>
        <v>0</v>
      </c>
      <c r="O163" s="33">
        <v>0</v>
      </c>
      <c r="P163" s="33"/>
      <c r="Q163" s="33"/>
      <c r="R163" s="33"/>
      <c r="S163" s="33">
        <v>0</v>
      </c>
      <c r="T163" s="34">
        <v>0</v>
      </c>
      <c r="U163" s="35">
        <f t="shared" si="12"/>
        <v>0</v>
      </c>
    </row>
    <row r="164" spans="1:21" ht="15.75" thickBot="1" x14ac:dyDescent="0.3">
      <c r="A164" s="21">
        <v>160</v>
      </c>
      <c r="B164" s="150">
        <f>'X. Satser pensjonstilskudd'!B164</f>
        <v>0</v>
      </c>
      <c r="C164" s="18">
        <f>'X. Satser pensjonstilskudd'!C164</f>
        <v>0</v>
      </c>
      <c r="D164" s="18" t="str">
        <f>IFERROR(_xlfn.XLOOKUP($C164,factPensjon[Virksomhetsnr.],factPensjon[Forpliktelser]),"")</f>
        <v/>
      </c>
      <c r="E164" s="148">
        <f>SUMIFS(BasilRadata[Heltidsplasser
0-2],BasilRadata[År],'0. Oppsett'!$C$7-1,BasilRadata[1B. Organisasjonsnummer:],$C164)</f>
        <v>0</v>
      </c>
      <c r="F164" s="25">
        <f>'4. Selvkost og satser'!$B$54</f>
        <v>288170.9461329499</v>
      </c>
      <c r="G164" s="148">
        <f>SUMIFS(BasilRadata[Heltidsplasser
3-6],BasilRadata[År],'0. Oppsett'!$C$7-1,BasilRadata[1B. Organisasjonsnummer:],$C164)</f>
        <v>0</v>
      </c>
      <c r="H164" s="25">
        <f>'4. Selvkost og satser'!$B$55</f>
        <v>156604.23359926464</v>
      </c>
      <c r="I164" s="172">
        <f t="shared" si="9"/>
        <v>0</v>
      </c>
      <c r="J164" s="176">
        <f>SUMIFS(BasilRadata[8E. Oppgi antall årsverk barnehagen har pensjonsforpliktelser for:],BasilRadata[År],'0. Oppsett'!$C$7-1,BasilRadata[1B. Organisasjonsnummer:],'X. Utbetalingsmodul'!$C164)</f>
        <v>0</v>
      </c>
      <c r="K164" s="172" t="e">
        <f>_xlfn.XLOOKUP(C164,'X. Satser pensjonstilskudd'!$C$5:$C$224,'X. Satser pensjonstilskudd'!$I$5:$I$224)</f>
        <v>#DIV/0!</v>
      </c>
      <c r="L164" s="173" t="e">
        <f t="shared" si="10"/>
        <v>#DIV/0!</v>
      </c>
      <c r="M164" s="147">
        <f t="shared" si="11"/>
        <v>0</v>
      </c>
      <c r="N164" s="32">
        <f>IFERROR(M164*'0. Oppsett'!$C$30,0)</f>
        <v>0</v>
      </c>
      <c r="O164" s="33">
        <v>0</v>
      </c>
      <c r="P164" s="33"/>
      <c r="Q164" s="33"/>
      <c r="R164" s="33"/>
      <c r="S164" s="33">
        <v>0</v>
      </c>
      <c r="T164" s="34">
        <v>0</v>
      </c>
      <c r="U164" s="35">
        <f t="shared" si="12"/>
        <v>0</v>
      </c>
    </row>
    <row r="165" spans="1:21" ht="15.75" thickBot="1" x14ac:dyDescent="0.3">
      <c r="A165" s="17">
        <v>161</v>
      </c>
      <c r="B165" s="150">
        <f>'X. Satser pensjonstilskudd'!B165</f>
        <v>0</v>
      </c>
      <c r="C165" s="18">
        <f>'X. Satser pensjonstilskudd'!C165</f>
        <v>0</v>
      </c>
      <c r="D165" s="18" t="str">
        <f>IFERROR(_xlfn.XLOOKUP($C165,factPensjon[Virksomhetsnr.],factPensjon[Forpliktelser]),"")</f>
        <v/>
      </c>
      <c r="E165" s="148">
        <f>SUMIFS(BasilRadata[Heltidsplasser
0-2],BasilRadata[År],'0. Oppsett'!$C$7-1,BasilRadata[1B. Organisasjonsnummer:],$C165)</f>
        <v>0</v>
      </c>
      <c r="F165" s="25">
        <f>'4. Selvkost og satser'!$B$54</f>
        <v>288170.9461329499</v>
      </c>
      <c r="G165" s="148">
        <f>SUMIFS(BasilRadata[Heltidsplasser
3-6],BasilRadata[År],'0. Oppsett'!$C$7-1,BasilRadata[1B. Organisasjonsnummer:],$C165)</f>
        <v>0</v>
      </c>
      <c r="H165" s="25">
        <f>'4. Selvkost og satser'!$B$55</f>
        <v>156604.23359926464</v>
      </c>
      <c r="I165" s="172">
        <f t="shared" si="9"/>
        <v>0</v>
      </c>
      <c r="J165" s="176">
        <f>SUMIFS(BasilRadata[8E. Oppgi antall årsverk barnehagen har pensjonsforpliktelser for:],BasilRadata[År],'0. Oppsett'!$C$7-1,BasilRadata[1B. Organisasjonsnummer:],'X. Utbetalingsmodul'!$C165)</f>
        <v>0</v>
      </c>
      <c r="K165" s="172" t="e">
        <f>_xlfn.XLOOKUP(C165,'X. Satser pensjonstilskudd'!$C$5:$C$224,'X. Satser pensjonstilskudd'!$I$5:$I$224)</f>
        <v>#DIV/0!</v>
      </c>
      <c r="L165" s="173" t="e">
        <f t="shared" si="10"/>
        <v>#DIV/0!</v>
      </c>
      <c r="M165" s="147">
        <f t="shared" si="11"/>
        <v>0</v>
      </c>
      <c r="N165" s="32">
        <f>IFERROR(M165*'0. Oppsett'!$C$30,0)</f>
        <v>0</v>
      </c>
      <c r="O165" s="33">
        <v>0</v>
      </c>
      <c r="P165" s="33"/>
      <c r="Q165" s="33"/>
      <c r="R165" s="33"/>
      <c r="S165" s="33">
        <v>0</v>
      </c>
      <c r="T165" s="34">
        <v>0</v>
      </c>
      <c r="U165" s="35">
        <f t="shared" si="12"/>
        <v>0</v>
      </c>
    </row>
    <row r="166" spans="1:21" ht="15.75" thickBot="1" x14ac:dyDescent="0.3">
      <c r="A166" s="21">
        <v>162</v>
      </c>
      <c r="B166" s="150">
        <f>'X. Satser pensjonstilskudd'!B166</f>
        <v>0</v>
      </c>
      <c r="C166" s="18">
        <f>'X. Satser pensjonstilskudd'!C166</f>
        <v>0</v>
      </c>
      <c r="D166" s="18" t="str">
        <f>IFERROR(_xlfn.XLOOKUP($C166,factPensjon[Virksomhetsnr.],factPensjon[Forpliktelser]),"")</f>
        <v/>
      </c>
      <c r="E166" s="148">
        <f>SUMIFS(BasilRadata[Heltidsplasser
0-2],BasilRadata[År],'0. Oppsett'!$C$7-1,BasilRadata[1B. Organisasjonsnummer:],$C166)</f>
        <v>0</v>
      </c>
      <c r="F166" s="25">
        <f>'4. Selvkost og satser'!$B$54</f>
        <v>288170.9461329499</v>
      </c>
      <c r="G166" s="148">
        <f>SUMIFS(BasilRadata[Heltidsplasser
3-6],BasilRadata[År],'0. Oppsett'!$C$7-1,BasilRadata[1B. Organisasjonsnummer:],$C166)</f>
        <v>0</v>
      </c>
      <c r="H166" s="25">
        <f>'4. Selvkost og satser'!$B$55</f>
        <v>156604.23359926464</v>
      </c>
      <c r="I166" s="172">
        <f t="shared" si="9"/>
        <v>0</v>
      </c>
      <c r="J166" s="176">
        <f>SUMIFS(BasilRadata[8E. Oppgi antall årsverk barnehagen har pensjonsforpliktelser for:],BasilRadata[År],'0. Oppsett'!$C$7-1,BasilRadata[1B. Organisasjonsnummer:],'X. Utbetalingsmodul'!$C166)</f>
        <v>0</v>
      </c>
      <c r="K166" s="172" t="e">
        <f>_xlfn.XLOOKUP(C166,'X. Satser pensjonstilskudd'!$C$5:$C$224,'X. Satser pensjonstilskudd'!$I$5:$I$224)</f>
        <v>#DIV/0!</v>
      </c>
      <c r="L166" s="173" t="e">
        <f t="shared" si="10"/>
        <v>#DIV/0!</v>
      </c>
      <c r="M166" s="147">
        <f t="shared" si="11"/>
        <v>0</v>
      </c>
      <c r="N166" s="32">
        <f>IFERROR(M166*'0. Oppsett'!$C$30,0)</f>
        <v>0</v>
      </c>
      <c r="O166" s="33">
        <v>0</v>
      </c>
      <c r="P166" s="33"/>
      <c r="Q166" s="33"/>
      <c r="R166" s="33"/>
      <c r="S166" s="33">
        <v>0</v>
      </c>
      <c r="T166" s="34">
        <v>0</v>
      </c>
      <c r="U166" s="35">
        <f t="shared" si="12"/>
        <v>0</v>
      </c>
    </row>
    <row r="167" spans="1:21" ht="15.75" thickBot="1" x14ac:dyDescent="0.3">
      <c r="A167" s="17">
        <v>163</v>
      </c>
      <c r="B167" s="150">
        <f>'X. Satser pensjonstilskudd'!B167</f>
        <v>0</v>
      </c>
      <c r="C167" s="18">
        <f>'X. Satser pensjonstilskudd'!C167</f>
        <v>0</v>
      </c>
      <c r="D167" s="18" t="str">
        <f>IFERROR(_xlfn.XLOOKUP($C167,factPensjon[Virksomhetsnr.],factPensjon[Forpliktelser]),"")</f>
        <v/>
      </c>
      <c r="E167" s="148">
        <f>SUMIFS(BasilRadata[Heltidsplasser
0-2],BasilRadata[År],'0. Oppsett'!$C$7-1,BasilRadata[1B. Organisasjonsnummer:],$C167)</f>
        <v>0</v>
      </c>
      <c r="F167" s="25">
        <f>'4. Selvkost og satser'!$B$54</f>
        <v>288170.9461329499</v>
      </c>
      <c r="G167" s="148">
        <f>SUMIFS(BasilRadata[Heltidsplasser
3-6],BasilRadata[År],'0. Oppsett'!$C$7-1,BasilRadata[1B. Organisasjonsnummer:],$C167)</f>
        <v>0</v>
      </c>
      <c r="H167" s="25">
        <f>'4. Selvkost og satser'!$B$55</f>
        <v>156604.23359926464</v>
      </c>
      <c r="I167" s="172">
        <f t="shared" si="9"/>
        <v>0</v>
      </c>
      <c r="J167" s="176">
        <f>SUMIFS(BasilRadata[8E. Oppgi antall årsverk barnehagen har pensjonsforpliktelser for:],BasilRadata[År],'0. Oppsett'!$C$7-1,BasilRadata[1B. Organisasjonsnummer:],'X. Utbetalingsmodul'!$C167)</f>
        <v>0</v>
      </c>
      <c r="K167" s="172" t="e">
        <f>_xlfn.XLOOKUP(C167,'X. Satser pensjonstilskudd'!$C$5:$C$224,'X. Satser pensjonstilskudd'!$I$5:$I$224)</f>
        <v>#DIV/0!</v>
      </c>
      <c r="L167" s="173" t="e">
        <f t="shared" si="10"/>
        <v>#DIV/0!</v>
      </c>
      <c r="M167" s="147">
        <f t="shared" si="11"/>
        <v>0</v>
      </c>
      <c r="N167" s="32">
        <f>IFERROR(M167*'0. Oppsett'!$C$30,0)</f>
        <v>0</v>
      </c>
      <c r="O167" s="33">
        <v>0</v>
      </c>
      <c r="P167" s="33"/>
      <c r="Q167" s="33"/>
      <c r="R167" s="33"/>
      <c r="S167" s="33">
        <v>0</v>
      </c>
      <c r="T167" s="34">
        <v>0</v>
      </c>
      <c r="U167" s="35">
        <f t="shared" si="12"/>
        <v>0</v>
      </c>
    </row>
    <row r="168" spans="1:21" ht="15.75" thickBot="1" x14ac:dyDescent="0.3">
      <c r="A168" s="21">
        <v>164</v>
      </c>
      <c r="B168" s="150">
        <f>'X. Satser pensjonstilskudd'!B168</f>
        <v>0</v>
      </c>
      <c r="C168" s="18">
        <f>'X. Satser pensjonstilskudd'!C168</f>
        <v>0</v>
      </c>
      <c r="D168" s="18" t="str">
        <f>IFERROR(_xlfn.XLOOKUP($C168,factPensjon[Virksomhetsnr.],factPensjon[Forpliktelser]),"")</f>
        <v/>
      </c>
      <c r="E168" s="148">
        <f>SUMIFS(BasilRadata[Heltidsplasser
0-2],BasilRadata[År],'0. Oppsett'!$C$7-1,BasilRadata[1B. Organisasjonsnummer:],$C168)</f>
        <v>0</v>
      </c>
      <c r="F168" s="25">
        <f>'4. Selvkost og satser'!$B$54</f>
        <v>288170.9461329499</v>
      </c>
      <c r="G168" s="148">
        <f>SUMIFS(BasilRadata[Heltidsplasser
3-6],BasilRadata[År],'0. Oppsett'!$C$7-1,BasilRadata[1B. Organisasjonsnummer:],$C168)</f>
        <v>0</v>
      </c>
      <c r="H168" s="25">
        <f>'4. Selvkost og satser'!$B$55</f>
        <v>156604.23359926464</v>
      </c>
      <c r="I168" s="172">
        <f t="shared" si="9"/>
        <v>0</v>
      </c>
      <c r="J168" s="176">
        <f>SUMIFS(BasilRadata[8E. Oppgi antall årsverk barnehagen har pensjonsforpliktelser for:],BasilRadata[År],'0. Oppsett'!$C$7-1,BasilRadata[1B. Organisasjonsnummer:],'X. Utbetalingsmodul'!$C168)</f>
        <v>0</v>
      </c>
      <c r="K168" s="172" t="e">
        <f>_xlfn.XLOOKUP(C168,'X. Satser pensjonstilskudd'!$C$5:$C$224,'X. Satser pensjonstilskudd'!$I$5:$I$224)</f>
        <v>#DIV/0!</v>
      </c>
      <c r="L168" s="173" t="e">
        <f t="shared" si="10"/>
        <v>#DIV/0!</v>
      </c>
      <c r="M168" s="147">
        <f t="shared" si="11"/>
        <v>0</v>
      </c>
      <c r="N168" s="32">
        <f>IFERROR(M168*'0. Oppsett'!$C$30,0)</f>
        <v>0</v>
      </c>
      <c r="O168" s="33">
        <v>0</v>
      </c>
      <c r="P168" s="33"/>
      <c r="Q168" s="33"/>
      <c r="R168" s="33"/>
      <c r="S168" s="33">
        <v>0</v>
      </c>
      <c r="T168" s="34">
        <v>0</v>
      </c>
      <c r="U168" s="35">
        <f t="shared" si="12"/>
        <v>0</v>
      </c>
    </row>
    <row r="169" spans="1:21" ht="15.75" thickBot="1" x14ac:dyDescent="0.3">
      <c r="A169" s="17">
        <v>165</v>
      </c>
      <c r="B169" s="150">
        <f>'X. Satser pensjonstilskudd'!B169</f>
        <v>0</v>
      </c>
      <c r="C169" s="18">
        <f>'X. Satser pensjonstilskudd'!C169</f>
        <v>0</v>
      </c>
      <c r="D169" s="18" t="str">
        <f>IFERROR(_xlfn.XLOOKUP($C169,factPensjon[Virksomhetsnr.],factPensjon[Forpliktelser]),"")</f>
        <v/>
      </c>
      <c r="E169" s="148">
        <f>SUMIFS(BasilRadata[Heltidsplasser
0-2],BasilRadata[År],'0. Oppsett'!$C$7-1,BasilRadata[1B. Organisasjonsnummer:],$C169)</f>
        <v>0</v>
      </c>
      <c r="F169" s="25">
        <f>'4. Selvkost og satser'!$B$54</f>
        <v>288170.9461329499</v>
      </c>
      <c r="G169" s="148">
        <f>SUMIFS(BasilRadata[Heltidsplasser
3-6],BasilRadata[År],'0. Oppsett'!$C$7-1,BasilRadata[1B. Organisasjonsnummer:],$C169)</f>
        <v>0</v>
      </c>
      <c r="H169" s="25">
        <f>'4. Selvkost og satser'!$B$55</f>
        <v>156604.23359926464</v>
      </c>
      <c r="I169" s="172">
        <f t="shared" si="9"/>
        <v>0</v>
      </c>
      <c r="J169" s="176">
        <f>SUMIFS(BasilRadata[8E. Oppgi antall årsverk barnehagen har pensjonsforpliktelser for:],BasilRadata[År],'0. Oppsett'!$C$7-1,BasilRadata[1B. Organisasjonsnummer:],'X. Utbetalingsmodul'!$C169)</f>
        <v>0</v>
      </c>
      <c r="K169" s="172" t="e">
        <f>_xlfn.XLOOKUP(C169,'X. Satser pensjonstilskudd'!$C$5:$C$224,'X. Satser pensjonstilskudd'!$I$5:$I$224)</f>
        <v>#DIV/0!</v>
      </c>
      <c r="L169" s="173" t="e">
        <f t="shared" si="10"/>
        <v>#DIV/0!</v>
      </c>
      <c r="M169" s="147">
        <f t="shared" si="11"/>
        <v>0</v>
      </c>
      <c r="N169" s="32">
        <f>IFERROR(M169*'0. Oppsett'!$C$30,0)</f>
        <v>0</v>
      </c>
      <c r="O169" s="33">
        <v>0</v>
      </c>
      <c r="P169" s="33"/>
      <c r="Q169" s="33"/>
      <c r="R169" s="33"/>
      <c r="S169" s="33">
        <v>0</v>
      </c>
      <c r="T169" s="34">
        <v>0</v>
      </c>
      <c r="U169" s="35">
        <f t="shared" si="12"/>
        <v>0</v>
      </c>
    </row>
    <row r="170" spans="1:21" ht="15.75" thickBot="1" x14ac:dyDescent="0.3">
      <c r="A170" s="21">
        <v>166</v>
      </c>
      <c r="B170" s="150">
        <f>'X. Satser pensjonstilskudd'!B170</f>
        <v>0</v>
      </c>
      <c r="C170" s="18">
        <f>'X. Satser pensjonstilskudd'!C170</f>
        <v>0</v>
      </c>
      <c r="D170" s="18" t="str">
        <f>IFERROR(_xlfn.XLOOKUP($C170,factPensjon[Virksomhetsnr.],factPensjon[Forpliktelser]),"")</f>
        <v/>
      </c>
      <c r="E170" s="148">
        <f>SUMIFS(BasilRadata[Heltidsplasser
0-2],BasilRadata[År],'0. Oppsett'!$C$7-1,BasilRadata[1B. Organisasjonsnummer:],$C170)</f>
        <v>0</v>
      </c>
      <c r="F170" s="25">
        <f>'4. Selvkost og satser'!$B$54</f>
        <v>288170.9461329499</v>
      </c>
      <c r="G170" s="148">
        <f>SUMIFS(BasilRadata[Heltidsplasser
3-6],BasilRadata[År],'0. Oppsett'!$C$7-1,BasilRadata[1B. Organisasjonsnummer:],$C170)</f>
        <v>0</v>
      </c>
      <c r="H170" s="25">
        <f>'4. Selvkost og satser'!$B$55</f>
        <v>156604.23359926464</v>
      </c>
      <c r="I170" s="172">
        <f t="shared" si="9"/>
        <v>0</v>
      </c>
      <c r="J170" s="176">
        <f>SUMIFS(BasilRadata[8E. Oppgi antall årsverk barnehagen har pensjonsforpliktelser for:],BasilRadata[År],'0. Oppsett'!$C$7-1,BasilRadata[1B. Organisasjonsnummer:],'X. Utbetalingsmodul'!$C170)</f>
        <v>0</v>
      </c>
      <c r="K170" s="172" t="e">
        <f>_xlfn.XLOOKUP(C170,'X. Satser pensjonstilskudd'!$C$5:$C$224,'X. Satser pensjonstilskudd'!$I$5:$I$224)</f>
        <v>#DIV/0!</v>
      </c>
      <c r="L170" s="173" t="e">
        <f t="shared" si="10"/>
        <v>#DIV/0!</v>
      </c>
      <c r="M170" s="147">
        <f t="shared" si="11"/>
        <v>0</v>
      </c>
      <c r="N170" s="32">
        <f>IFERROR(M170*'0. Oppsett'!$C$30,0)</f>
        <v>0</v>
      </c>
      <c r="O170" s="33">
        <v>0</v>
      </c>
      <c r="P170" s="33"/>
      <c r="Q170" s="33"/>
      <c r="R170" s="33"/>
      <c r="S170" s="33">
        <v>0</v>
      </c>
      <c r="T170" s="34">
        <v>0</v>
      </c>
      <c r="U170" s="35">
        <f t="shared" si="12"/>
        <v>0</v>
      </c>
    </row>
    <row r="171" spans="1:21" ht="15.75" thickBot="1" x14ac:dyDescent="0.3">
      <c r="A171" s="17">
        <v>167</v>
      </c>
      <c r="B171" s="150">
        <f>'X. Satser pensjonstilskudd'!B171</f>
        <v>0</v>
      </c>
      <c r="C171" s="18">
        <f>'X. Satser pensjonstilskudd'!C171</f>
        <v>0</v>
      </c>
      <c r="D171" s="18" t="str">
        <f>IFERROR(_xlfn.XLOOKUP($C171,factPensjon[Virksomhetsnr.],factPensjon[Forpliktelser]),"")</f>
        <v/>
      </c>
      <c r="E171" s="148">
        <f>SUMIFS(BasilRadata[Heltidsplasser
0-2],BasilRadata[År],'0. Oppsett'!$C$7-1,BasilRadata[1B. Organisasjonsnummer:],$C171)</f>
        <v>0</v>
      </c>
      <c r="F171" s="25">
        <f>'4. Selvkost og satser'!$B$54</f>
        <v>288170.9461329499</v>
      </c>
      <c r="G171" s="148">
        <f>SUMIFS(BasilRadata[Heltidsplasser
3-6],BasilRadata[År],'0. Oppsett'!$C$7-1,BasilRadata[1B. Organisasjonsnummer:],$C171)</f>
        <v>0</v>
      </c>
      <c r="H171" s="25">
        <f>'4. Selvkost og satser'!$B$55</f>
        <v>156604.23359926464</v>
      </c>
      <c r="I171" s="172">
        <f t="shared" si="9"/>
        <v>0</v>
      </c>
      <c r="J171" s="176">
        <f>SUMIFS(BasilRadata[8E. Oppgi antall årsverk barnehagen har pensjonsforpliktelser for:],BasilRadata[År],'0. Oppsett'!$C$7-1,BasilRadata[1B. Organisasjonsnummer:],'X. Utbetalingsmodul'!$C171)</f>
        <v>0</v>
      </c>
      <c r="K171" s="172" t="e">
        <f>_xlfn.XLOOKUP(C171,'X. Satser pensjonstilskudd'!$C$5:$C$224,'X. Satser pensjonstilskudd'!$I$5:$I$224)</f>
        <v>#DIV/0!</v>
      </c>
      <c r="L171" s="173" t="e">
        <f t="shared" si="10"/>
        <v>#DIV/0!</v>
      </c>
      <c r="M171" s="147">
        <f t="shared" si="11"/>
        <v>0</v>
      </c>
      <c r="N171" s="32">
        <f>IFERROR(M171*'0. Oppsett'!$C$30,0)</f>
        <v>0</v>
      </c>
      <c r="O171" s="33">
        <v>0</v>
      </c>
      <c r="P171" s="33"/>
      <c r="Q171" s="33"/>
      <c r="R171" s="33"/>
      <c r="S171" s="33">
        <v>0</v>
      </c>
      <c r="T171" s="34">
        <v>0</v>
      </c>
      <c r="U171" s="35">
        <f t="shared" si="12"/>
        <v>0</v>
      </c>
    </row>
    <row r="172" spans="1:21" ht="15.75" thickBot="1" x14ac:dyDescent="0.3">
      <c r="A172" s="21">
        <v>168</v>
      </c>
      <c r="B172" s="150">
        <f>'X. Satser pensjonstilskudd'!B172</f>
        <v>0</v>
      </c>
      <c r="C172" s="18">
        <f>'X. Satser pensjonstilskudd'!C172</f>
        <v>0</v>
      </c>
      <c r="D172" s="18" t="str">
        <f>IFERROR(_xlfn.XLOOKUP($C172,factPensjon[Virksomhetsnr.],factPensjon[Forpliktelser]),"")</f>
        <v/>
      </c>
      <c r="E172" s="148">
        <f>SUMIFS(BasilRadata[Heltidsplasser
0-2],BasilRadata[År],'0. Oppsett'!$C$7-1,BasilRadata[1B. Organisasjonsnummer:],$C172)</f>
        <v>0</v>
      </c>
      <c r="F172" s="25">
        <f>'4. Selvkost og satser'!$B$54</f>
        <v>288170.9461329499</v>
      </c>
      <c r="G172" s="148">
        <f>SUMIFS(BasilRadata[Heltidsplasser
3-6],BasilRadata[År],'0. Oppsett'!$C$7-1,BasilRadata[1B. Organisasjonsnummer:],$C172)</f>
        <v>0</v>
      </c>
      <c r="H172" s="25">
        <f>'4. Selvkost og satser'!$B$55</f>
        <v>156604.23359926464</v>
      </c>
      <c r="I172" s="172">
        <f t="shared" si="9"/>
        <v>0</v>
      </c>
      <c r="J172" s="176">
        <f>SUMIFS(BasilRadata[8E. Oppgi antall årsverk barnehagen har pensjonsforpliktelser for:],BasilRadata[År],'0. Oppsett'!$C$7-1,BasilRadata[1B. Organisasjonsnummer:],'X. Utbetalingsmodul'!$C172)</f>
        <v>0</v>
      </c>
      <c r="K172" s="172" t="e">
        <f>_xlfn.XLOOKUP(C172,'X. Satser pensjonstilskudd'!$C$5:$C$224,'X. Satser pensjonstilskudd'!$I$5:$I$224)</f>
        <v>#DIV/0!</v>
      </c>
      <c r="L172" s="173" t="e">
        <f t="shared" si="10"/>
        <v>#DIV/0!</v>
      </c>
      <c r="M172" s="147">
        <f t="shared" si="11"/>
        <v>0</v>
      </c>
      <c r="N172" s="32">
        <f>IFERROR(M172*'0. Oppsett'!$C$30,0)</f>
        <v>0</v>
      </c>
      <c r="O172" s="33">
        <v>0</v>
      </c>
      <c r="P172" s="33"/>
      <c r="Q172" s="33"/>
      <c r="R172" s="33"/>
      <c r="S172" s="33">
        <v>0</v>
      </c>
      <c r="T172" s="34">
        <v>0</v>
      </c>
      <c r="U172" s="35">
        <f t="shared" si="12"/>
        <v>0</v>
      </c>
    </row>
    <row r="173" spans="1:21" ht="15.75" thickBot="1" x14ac:dyDescent="0.3">
      <c r="A173" s="17">
        <v>169</v>
      </c>
      <c r="B173" s="150">
        <f>'X. Satser pensjonstilskudd'!B173</f>
        <v>0</v>
      </c>
      <c r="C173" s="18">
        <f>'X. Satser pensjonstilskudd'!C173</f>
        <v>0</v>
      </c>
      <c r="D173" s="18" t="str">
        <f>IFERROR(_xlfn.XLOOKUP($C173,factPensjon[Virksomhetsnr.],factPensjon[Forpliktelser]),"")</f>
        <v/>
      </c>
      <c r="E173" s="148">
        <f>SUMIFS(BasilRadata[Heltidsplasser
0-2],BasilRadata[År],'0. Oppsett'!$C$7-1,BasilRadata[1B. Organisasjonsnummer:],$C173)</f>
        <v>0</v>
      </c>
      <c r="F173" s="25">
        <f>'4. Selvkost og satser'!$B$54</f>
        <v>288170.9461329499</v>
      </c>
      <c r="G173" s="148">
        <f>SUMIFS(BasilRadata[Heltidsplasser
3-6],BasilRadata[År],'0. Oppsett'!$C$7-1,BasilRadata[1B. Organisasjonsnummer:],$C173)</f>
        <v>0</v>
      </c>
      <c r="H173" s="25">
        <f>'4. Selvkost og satser'!$B$55</f>
        <v>156604.23359926464</v>
      </c>
      <c r="I173" s="172">
        <f t="shared" si="9"/>
        <v>0</v>
      </c>
      <c r="J173" s="176">
        <f>SUMIFS(BasilRadata[8E. Oppgi antall årsverk barnehagen har pensjonsforpliktelser for:],BasilRadata[År],'0. Oppsett'!$C$7-1,BasilRadata[1B. Organisasjonsnummer:],'X. Utbetalingsmodul'!$C173)</f>
        <v>0</v>
      </c>
      <c r="K173" s="172" t="e">
        <f>_xlfn.XLOOKUP(C173,'X. Satser pensjonstilskudd'!$C$5:$C$224,'X. Satser pensjonstilskudd'!$I$5:$I$224)</f>
        <v>#DIV/0!</v>
      </c>
      <c r="L173" s="173" t="e">
        <f t="shared" si="10"/>
        <v>#DIV/0!</v>
      </c>
      <c r="M173" s="147">
        <f t="shared" si="11"/>
        <v>0</v>
      </c>
      <c r="N173" s="32">
        <f>IFERROR(M173*'0. Oppsett'!$C$30,0)</f>
        <v>0</v>
      </c>
      <c r="O173" s="33">
        <v>0</v>
      </c>
      <c r="P173" s="33"/>
      <c r="Q173" s="33"/>
      <c r="R173" s="33"/>
      <c r="S173" s="33">
        <v>0</v>
      </c>
      <c r="T173" s="34">
        <v>0</v>
      </c>
      <c r="U173" s="35">
        <f t="shared" si="12"/>
        <v>0</v>
      </c>
    </row>
    <row r="174" spans="1:21" ht="15.75" thickBot="1" x14ac:dyDescent="0.3">
      <c r="A174" s="21">
        <v>170</v>
      </c>
      <c r="B174" s="150">
        <f>'X. Satser pensjonstilskudd'!B174</f>
        <v>0</v>
      </c>
      <c r="C174" s="18">
        <f>'X. Satser pensjonstilskudd'!C174</f>
        <v>0</v>
      </c>
      <c r="D174" s="18" t="str">
        <f>IFERROR(_xlfn.XLOOKUP($C174,factPensjon[Virksomhetsnr.],factPensjon[Forpliktelser]),"")</f>
        <v/>
      </c>
      <c r="E174" s="148">
        <f>SUMIFS(BasilRadata[Heltidsplasser
0-2],BasilRadata[År],'0. Oppsett'!$C$7-1,BasilRadata[1B. Organisasjonsnummer:],$C174)</f>
        <v>0</v>
      </c>
      <c r="F174" s="25">
        <f>'4. Selvkost og satser'!$B$54</f>
        <v>288170.9461329499</v>
      </c>
      <c r="G174" s="148">
        <f>SUMIFS(BasilRadata[Heltidsplasser
3-6],BasilRadata[År],'0. Oppsett'!$C$7-1,BasilRadata[1B. Organisasjonsnummer:],$C174)</f>
        <v>0</v>
      </c>
      <c r="H174" s="25">
        <f>'4. Selvkost og satser'!$B$55</f>
        <v>156604.23359926464</v>
      </c>
      <c r="I174" s="172">
        <f t="shared" si="9"/>
        <v>0</v>
      </c>
      <c r="J174" s="176">
        <f>SUMIFS(BasilRadata[8E. Oppgi antall årsverk barnehagen har pensjonsforpliktelser for:],BasilRadata[År],'0. Oppsett'!$C$7-1,BasilRadata[1B. Organisasjonsnummer:],'X. Utbetalingsmodul'!$C174)</f>
        <v>0</v>
      </c>
      <c r="K174" s="172" t="e">
        <f>_xlfn.XLOOKUP(C174,'X. Satser pensjonstilskudd'!$C$5:$C$224,'X. Satser pensjonstilskudd'!$I$5:$I$224)</f>
        <v>#DIV/0!</v>
      </c>
      <c r="L174" s="173" t="e">
        <f t="shared" si="10"/>
        <v>#DIV/0!</v>
      </c>
      <c r="M174" s="147">
        <f t="shared" si="11"/>
        <v>0</v>
      </c>
      <c r="N174" s="32">
        <f>IFERROR(M174*'0. Oppsett'!$C$30,0)</f>
        <v>0</v>
      </c>
      <c r="O174" s="33">
        <v>0</v>
      </c>
      <c r="P174" s="33"/>
      <c r="Q174" s="33"/>
      <c r="R174" s="33"/>
      <c r="S174" s="33">
        <v>0</v>
      </c>
      <c r="T174" s="34">
        <v>0</v>
      </c>
      <c r="U174" s="35">
        <f t="shared" si="12"/>
        <v>0</v>
      </c>
    </row>
    <row r="175" spans="1:21" ht="15.75" thickBot="1" x14ac:dyDescent="0.3">
      <c r="A175" s="17">
        <v>171</v>
      </c>
      <c r="B175" s="150">
        <f>'X. Satser pensjonstilskudd'!B175</f>
        <v>0</v>
      </c>
      <c r="C175" s="18">
        <f>'X. Satser pensjonstilskudd'!C175</f>
        <v>0</v>
      </c>
      <c r="D175" s="18" t="str">
        <f>IFERROR(_xlfn.XLOOKUP($C175,factPensjon[Virksomhetsnr.],factPensjon[Forpliktelser]),"")</f>
        <v/>
      </c>
      <c r="E175" s="148">
        <f>SUMIFS(BasilRadata[Heltidsplasser
0-2],BasilRadata[År],'0. Oppsett'!$C$7-1,BasilRadata[1B. Organisasjonsnummer:],$C175)</f>
        <v>0</v>
      </c>
      <c r="F175" s="25">
        <f>'4. Selvkost og satser'!$B$54</f>
        <v>288170.9461329499</v>
      </c>
      <c r="G175" s="148">
        <f>SUMIFS(BasilRadata[Heltidsplasser
3-6],BasilRadata[År],'0. Oppsett'!$C$7-1,BasilRadata[1B. Organisasjonsnummer:],$C175)</f>
        <v>0</v>
      </c>
      <c r="H175" s="25">
        <f>'4. Selvkost og satser'!$B$55</f>
        <v>156604.23359926464</v>
      </c>
      <c r="I175" s="172">
        <f t="shared" si="9"/>
        <v>0</v>
      </c>
      <c r="J175" s="176">
        <f>SUMIFS(BasilRadata[8E. Oppgi antall årsverk barnehagen har pensjonsforpliktelser for:],BasilRadata[År],'0. Oppsett'!$C$7-1,BasilRadata[1B. Organisasjonsnummer:],'X. Utbetalingsmodul'!$C175)</f>
        <v>0</v>
      </c>
      <c r="K175" s="172" t="e">
        <f>_xlfn.XLOOKUP(C175,'X. Satser pensjonstilskudd'!$C$5:$C$224,'X. Satser pensjonstilskudd'!$I$5:$I$224)</f>
        <v>#DIV/0!</v>
      </c>
      <c r="L175" s="173" t="e">
        <f t="shared" si="10"/>
        <v>#DIV/0!</v>
      </c>
      <c r="M175" s="147">
        <f t="shared" si="11"/>
        <v>0</v>
      </c>
      <c r="N175" s="32">
        <f>IFERROR(M175*'0. Oppsett'!$C$30,0)</f>
        <v>0</v>
      </c>
      <c r="O175" s="33">
        <v>0</v>
      </c>
      <c r="P175" s="33"/>
      <c r="Q175" s="33"/>
      <c r="R175" s="33"/>
      <c r="S175" s="33">
        <v>0</v>
      </c>
      <c r="T175" s="34">
        <v>0</v>
      </c>
      <c r="U175" s="35">
        <f t="shared" si="12"/>
        <v>0</v>
      </c>
    </row>
    <row r="176" spans="1:21" ht="15.75" thickBot="1" x14ac:dyDescent="0.3">
      <c r="A176" s="21">
        <v>172</v>
      </c>
      <c r="B176" s="150">
        <f>'X. Satser pensjonstilskudd'!B176</f>
        <v>0</v>
      </c>
      <c r="C176" s="18">
        <f>'X. Satser pensjonstilskudd'!C176</f>
        <v>0</v>
      </c>
      <c r="D176" s="18" t="str">
        <f>IFERROR(_xlfn.XLOOKUP($C176,factPensjon[Virksomhetsnr.],factPensjon[Forpliktelser]),"")</f>
        <v/>
      </c>
      <c r="E176" s="148">
        <f>SUMIFS(BasilRadata[Heltidsplasser
0-2],BasilRadata[År],'0. Oppsett'!$C$7-1,BasilRadata[1B. Organisasjonsnummer:],$C176)</f>
        <v>0</v>
      </c>
      <c r="F176" s="25">
        <f>'4. Selvkost og satser'!$B$54</f>
        <v>288170.9461329499</v>
      </c>
      <c r="G176" s="148">
        <f>SUMIFS(BasilRadata[Heltidsplasser
3-6],BasilRadata[År],'0. Oppsett'!$C$7-1,BasilRadata[1B. Organisasjonsnummer:],$C176)</f>
        <v>0</v>
      </c>
      <c r="H176" s="25">
        <f>'4. Selvkost og satser'!$B$55</f>
        <v>156604.23359926464</v>
      </c>
      <c r="I176" s="172">
        <f t="shared" si="9"/>
        <v>0</v>
      </c>
      <c r="J176" s="176">
        <f>SUMIFS(BasilRadata[8E. Oppgi antall årsverk barnehagen har pensjonsforpliktelser for:],BasilRadata[År],'0. Oppsett'!$C$7-1,BasilRadata[1B. Organisasjonsnummer:],'X. Utbetalingsmodul'!$C176)</f>
        <v>0</v>
      </c>
      <c r="K176" s="172" t="e">
        <f>_xlfn.XLOOKUP(C176,'X. Satser pensjonstilskudd'!$C$5:$C$224,'X. Satser pensjonstilskudd'!$I$5:$I$224)</f>
        <v>#DIV/0!</v>
      </c>
      <c r="L176" s="173" t="e">
        <f t="shared" si="10"/>
        <v>#DIV/0!</v>
      </c>
      <c r="M176" s="147">
        <f t="shared" si="11"/>
        <v>0</v>
      </c>
      <c r="N176" s="32">
        <f>IFERROR(M176*'0. Oppsett'!$C$30,0)</f>
        <v>0</v>
      </c>
      <c r="O176" s="33">
        <v>0</v>
      </c>
      <c r="P176" s="33"/>
      <c r="Q176" s="33"/>
      <c r="R176" s="33"/>
      <c r="S176" s="33">
        <v>0</v>
      </c>
      <c r="T176" s="34">
        <v>0</v>
      </c>
      <c r="U176" s="35">
        <f t="shared" si="12"/>
        <v>0</v>
      </c>
    </row>
    <row r="177" spans="1:21" ht="15.75" thickBot="1" x14ac:dyDescent="0.3">
      <c r="A177" s="17">
        <v>173</v>
      </c>
      <c r="B177" s="150">
        <f>'X. Satser pensjonstilskudd'!B177</f>
        <v>0</v>
      </c>
      <c r="C177" s="18">
        <f>'X. Satser pensjonstilskudd'!C177</f>
        <v>0</v>
      </c>
      <c r="D177" s="18" t="str">
        <f>IFERROR(_xlfn.XLOOKUP($C177,factPensjon[Virksomhetsnr.],factPensjon[Forpliktelser]),"")</f>
        <v/>
      </c>
      <c r="E177" s="148">
        <f>SUMIFS(BasilRadata[Heltidsplasser
0-2],BasilRadata[År],'0. Oppsett'!$C$7-1,BasilRadata[1B. Organisasjonsnummer:],$C177)</f>
        <v>0</v>
      </c>
      <c r="F177" s="25">
        <f>'4. Selvkost og satser'!$B$54</f>
        <v>288170.9461329499</v>
      </c>
      <c r="G177" s="148">
        <f>SUMIFS(BasilRadata[Heltidsplasser
3-6],BasilRadata[År],'0. Oppsett'!$C$7-1,BasilRadata[1B. Organisasjonsnummer:],$C177)</f>
        <v>0</v>
      </c>
      <c r="H177" s="25">
        <f>'4. Selvkost og satser'!$B$55</f>
        <v>156604.23359926464</v>
      </c>
      <c r="I177" s="172">
        <f t="shared" si="9"/>
        <v>0</v>
      </c>
      <c r="J177" s="176">
        <f>SUMIFS(BasilRadata[8E. Oppgi antall årsverk barnehagen har pensjonsforpliktelser for:],BasilRadata[År],'0. Oppsett'!$C$7-1,BasilRadata[1B. Organisasjonsnummer:],'X. Utbetalingsmodul'!$C177)</f>
        <v>0</v>
      </c>
      <c r="K177" s="172" t="e">
        <f>_xlfn.XLOOKUP(C177,'X. Satser pensjonstilskudd'!$C$5:$C$224,'X. Satser pensjonstilskudd'!$I$5:$I$224)</f>
        <v>#DIV/0!</v>
      </c>
      <c r="L177" s="173" t="e">
        <f t="shared" si="10"/>
        <v>#DIV/0!</v>
      </c>
      <c r="M177" s="147">
        <f t="shared" si="11"/>
        <v>0</v>
      </c>
      <c r="N177" s="32">
        <f>IFERROR(M177*'0. Oppsett'!$C$30,0)</f>
        <v>0</v>
      </c>
      <c r="O177" s="33">
        <v>0</v>
      </c>
      <c r="P177" s="33"/>
      <c r="Q177" s="33"/>
      <c r="R177" s="33"/>
      <c r="S177" s="33">
        <v>0</v>
      </c>
      <c r="T177" s="34">
        <v>0</v>
      </c>
      <c r="U177" s="35">
        <f t="shared" si="12"/>
        <v>0</v>
      </c>
    </row>
    <row r="178" spans="1:21" ht="15.75" thickBot="1" x14ac:dyDescent="0.3">
      <c r="A178" s="21">
        <v>174</v>
      </c>
      <c r="B178" s="150">
        <f>'X. Satser pensjonstilskudd'!B178</f>
        <v>0</v>
      </c>
      <c r="C178" s="18">
        <f>'X. Satser pensjonstilskudd'!C178</f>
        <v>0</v>
      </c>
      <c r="D178" s="18" t="str">
        <f>IFERROR(_xlfn.XLOOKUP($C178,factPensjon[Virksomhetsnr.],factPensjon[Forpliktelser]),"")</f>
        <v/>
      </c>
      <c r="E178" s="148">
        <f>SUMIFS(BasilRadata[Heltidsplasser
0-2],BasilRadata[År],'0. Oppsett'!$C$7-1,BasilRadata[1B. Organisasjonsnummer:],$C178)</f>
        <v>0</v>
      </c>
      <c r="F178" s="25">
        <f>'4. Selvkost og satser'!$B$54</f>
        <v>288170.9461329499</v>
      </c>
      <c r="G178" s="148">
        <f>SUMIFS(BasilRadata[Heltidsplasser
3-6],BasilRadata[År],'0. Oppsett'!$C$7-1,BasilRadata[1B. Organisasjonsnummer:],$C178)</f>
        <v>0</v>
      </c>
      <c r="H178" s="25">
        <f>'4. Selvkost og satser'!$B$55</f>
        <v>156604.23359926464</v>
      </c>
      <c r="I178" s="172">
        <f t="shared" si="9"/>
        <v>0</v>
      </c>
      <c r="J178" s="176">
        <f>SUMIFS(BasilRadata[8E. Oppgi antall årsverk barnehagen har pensjonsforpliktelser for:],BasilRadata[År],'0. Oppsett'!$C$7-1,BasilRadata[1B. Organisasjonsnummer:],'X. Utbetalingsmodul'!$C178)</f>
        <v>0</v>
      </c>
      <c r="K178" s="172" t="e">
        <f>_xlfn.XLOOKUP(C178,'X. Satser pensjonstilskudd'!$C$5:$C$224,'X. Satser pensjonstilskudd'!$I$5:$I$224)</f>
        <v>#DIV/0!</v>
      </c>
      <c r="L178" s="173" t="e">
        <f t="shared" si="10"/>
        <v>#DIV/0!</v>
      </c>
      <c r="M178" s="147">
        <f t="shared" si="11"/>
        <v>0</v>
      </c>
      <c r="N178" s="32">
        <f>IFERROR(M178*'0. Oppsett'!$C$30,0)</f>
        <v>0</v>
      </c>
      <c r="O178" s="33">
        <v>0</v>
      </c>
      <c r="P178" s="33"/>
      <c r="Q178" s="33"/>
      <c r="R178" s="33"/>
      <c r="S178" s="33">
        <v>0</v>
      </c>
      <c r="T178" s="34">
        <v>0</v>
      </c>
      <c r="U178" s="35">
        <f t="shared" si="12"/>
        <v>0</v>
      </c>
    </row>
    <row r="179" spans="1:21" ht="15.75" thickBot="1" x14ac:dyDescent="0.3">
      <c r="A179" s="17">
        <v>175</v>
      </c>
      <c r="B179" s="150">
        <f>'X. Satser pensjonstilskudd'!B179</f>
        <v>0</v>
      </c>
      <c r="C179" s="18">
        <f>'X. Satser pensjonstilskudd'!C179</f>
        <v>0</v>
      </c>
      <c r="D179" s="18" t="str">
        <f>IFERROR(_xlfn.XLOOKUP($C179,factPensjon[Virksomhetsnr.],factPensjon[Forpliktelser]),"")</f>
        <v/>
      </c>
      <c r="E179" s="148">
        <f>SUMIFS(BasilRadata[Heltidsplasser
0-2],BasilRadata[År],'0. Oppsett'!$C$7-1,BasilRadata[1B. Organisasjonsnummer:],$C179)</f>
        <v>0</v>
      </c>
      <c r="F179" s="25">
        <f>'4. Selvkost og satser'!$B$54</f>
        <v>288170.9461329499</v>
      </c>
      <c r="G179" s="148">
        <f>SUMIFS(BasilRadata[Heltidsplasser
3-6],BasilRadata[År],'0. Oppsett'!$C$7-1,BasilRadata[1B. Organisasjonsnummer:],$C179)</f>
        <v>0</v>
      </c>
      <c r="H179" s="25">
        <f>'4. Selvkost og satser'!$B$55</f>
        <v>156604.23359926464</v>
      </c>
      <c r="I179" s="172">
        <f t="shared" si="9"/>
        <v>0</v>
      </c>
      <c r="J179" s="176">
        <f>SUMIFS(BasilRadata[8E. Oppgi antall årsverk barnehagen har pensjonsforpliktelser for:],BasilRadata[År],'0. Oppsett'!$C$7-1,BasilRadata[1B. Organisasjonsnummer:],'X. Utbetalingsmodul'!$C179)</f>
        <v>0</v>
      </c>
      <c r="K179" s="172" t="e">
        <f>_xlfn.XLOOKUP(C179,'X. Satser pensjonstilskudd'!$C$5:$C$224,'X. Satser pensjonstilskudd'!$I$5:$I$224)</f>
        <v>#DIV/0!</v>
      </c>
      <c r="L179" s="173" t="e">
        <f t="shared" si="10"/>
        <v>#DIV/0!</v>
      </c>
      <c r="M179" s="147">
        <f t="shared" si="11"/>
        <v>0</v>
      </c>
      <c r="N179" s="32">
        <f>IFERROR(M179*'0. Oppsett'!$C$30,0)</f>
        <v>0</v>
      </c>
      <c r="O179" s="33">
        <v>0</v>
      </c>
      <c r="P179" s="33"/>
      <c r="Q179" s="33"/>
      <c r="R179" s="33"/>
      <c r="S179" s="33">
        <v>0</v>
      </c>
      <c r="T179" s="34">
        <v>0</v>
      </c>
      <c r="U179" s="35">
        <f t="shared" si="12"/>
        <v>0</v>
      </c>
    </row>
    <row r="180" spans="1:21" ht="15.75" thickBot="1" x14ac:dyDescent="0.3">
      <c r="A180" s="21">
        <v>176</v>
      </c>
      <c r="B180" s="150">
        <f>'X. Satser pensjonstilskudd'!B180</f>
        <v>0</v>
      </c>
      <c r="C180" s="18">
        <f>'X. Satser pensjonstilskudd'!C180</f>
        <v>0</v>
      </c>
      <c r="D180" s="18" t="str">
        <f>IFERROR(_xlfn.XLOOKUP($C180,factPensjon[Virksomhetsnr.],factPensjon[Forpliktelser]),"")</f>
        <v/>
      </c>
      <c r="E180" s="148">
        <f>SUMIFS(BasilRadata[Heltidsplasser
0-2],BasilRadata[År],'0. Oppsett'!$C$7-1,BasilRadata[1B. Organisasjonsnummer:],$C180)</f>
        <v>0</v>
      </c>
      <c r="F180" s="25">
        <f>'4. Selvkost og satser'!$B$54</f>
        <v>288170.9461329499</v>
      </c>
      <c r="G180" s="148">
        <f>SUMIFS(BasilRadata[Heltidsplasser
3-6],BasilRadata[År],'0. Oppsett'!$C$7-1,BasilRadata[1B. Organisasjonsnummer:],$C180)</f>
        <v>0</v>
      </c>
      <c r="H180" s="25">
        <f>'4. Selvkost og satser'!$B$55</f>
        <v>156604.23359926464</v>
      </c>
      <c r="I180" s="172">
        <f t="shared" si="9"/>
        <v>0</v>
      </c>
      <c r="J180" s="176">
        <f>SUMIFS(BasilRadata[8E. Oppgi antall årsverk barnehagen har pensjonsforpliktelser for:],BasilRadata[År],'0. Oppsett'!$C$7-1,BasilRadata[1B. Organisasjonsnummer:],'X. Utbetalingsmodul'!$C180)</f>
        <v>0</v>
      </c>
      <c r="K180" s="172" t="e">
        <f>_xlfn.XLOOKUP(C180,'X. Satser pensjonstilskudd'!$C$5:$C$224,'X. Satser pensjonstilskudd'!$I$5:$I$224)</f>
        <v>#DIV/0!</v>
      </c>
      <c r="L180" s="173" t="e">
        <f t="shared" si="10"/>
        <v>#DIV/0!</v>
      </c>
      <c r="M180" s="147">
        <f t="shared" si="11"/>
        <v>0</v>
      </c>
      <c r="N180" s="32">
        <f>IFERROR(M180*'0. Oppsett'!$C$30,0)</f>
        <v>0</v>
      </c>
      <c r="O180" s="33">
        <v>0</v>
      </c>
      <c r="P180" s="33"/>
      <c r="Q180" s="33"/>
      <c r="R180" s="33"/>
      <c r="S180" s="33">
        <v>0</v>
      </c>
      <c r="T180" s="34">
        <v>0</v>
      </c>
      <c r="U180" s="35">
        <f t="shared" si="12"/>
        <v>0</v>
      </c>
    </row>
    <row r="181" spans="1:21" ht="15.75" thickBot="1" x14ac:dyDescent="0.3">
      <c r="A181" s="17">
        <v>177</v>
      </c>
      <c r="B181" s="150">
        <f>'X. Satser pensjonstilskudd'!B181</f>
        <v>0</v>
      </c>
      <c r="C181" s="18">
        <f>'X. Satser pensjonstilskudd'!C181</f>
        <v>0</v>
      </c>
      <c r="D181" s="18" t="str">
        <f>IFERROR(_xlfn.XLOOKUP($C181,factPensjon[Virksomhetsnr.],factPensjon[Forpliktelser]),"")</f>
        <v/>
      </c>
      <c r="E181" s="148">
        <f>SUMIFS(BasilRadata[Heltidsplasser
0-2],BasilRadata[År],'0. Oppsett'!$C$7-1,BasilRadata[1B. Organisasjonsnummer:],$C181)</f>
        <v>0</v>
      </c>
      <c r="F181" s="25">
        <f>'4. Selvkost og satser'!$B$54</f>
        <v>288170.9461329499</v>
      </c>
      <c r="G181" s="148">
        <f>SUMIFS(BasilRadata[Heltidsplasser
3-6],BasilRadata[År],'0. Oppsett'!$C$7-1,BasilRadata[1B. Organisasjonsnummer:],$C181)</f>
        <v>0</v>
      </c>
      <c r="H181" s="25">
        <f>'4. Selvkost og satser'!$B$55</f>
        <v>156604.23359926464</v>
      </c>
      <c r="I181" s="172">
        <f t="shared" si="9"/>
        <v>0</v>
      </c>
      <c r="J181" s="176">
        <f>SUMIFS(BasilRadata[8E. Oppgi antall årsverk barnehagen har pensjonsforpliktelser for:],BasilRadata[År],'0. Oppsett'!$C$7-1,BasilRadata[1B. Organisasjonsnummer:],'X. Utbetalingsmodul'!$C181)</f>
        <v>0</v>
      </c>
      <c r="K181" s="172" t="e">
        <f>_xlfn.XLOOKUP(C181,'X. Satser pensjonstilskudd'!$C$5:$C$224,'X. Satser pensjonstilskudd'!$I$5:$I$224)</f>
        <v>#DIV/0!</v>
      </c>
      <c r="L181" s="173" t="e">
        <f t="shared" si="10"/>
        <v>#DIV/0!</v>
      </c>
      <c r="M181" s="147">
        <f t="shared" si="11"/>
        <v>0</v>
      </c>
      <c r="N181" s="32">
        <f>IFERROR(M181*'0. Oppsett'!$C$30,0)</f>
        <v>0</v>
      </c>
      <c r="O181" s="33">
        <v>0</v>
      </c>
      <c r="P181" s="33"/>
      <c r="Q181" s="33"/>
      <c r="R181" s="33"/>
      <c r="S181" s="33">
        <v>0</v>
      </c>
      <c r="T181" s="34">
        <v>0</v>
      </c>
      <c r="U181" s="35">
        <f t="shared" si="12"/>
        <v>0</v>
      </c>
    </row>
    <row r="182" spans="1:21" ht="15.75" thickBot="1" x14ac:dyDescent="0.3">
      <c r="A182" s="21">
        <v>178</v>
      </c>
      <c r="B182" s="150">
        <f>'X. Satser pensjonstilskudd'!B182</f>
        <v>0</v>
      </c>
      <c r="C182" s="18">
        <f>'X. Satser pensjonstilskudd'!C182</f>
        <v>0</v>
      </c>
      <c r="D182" s="18" t="str">
        <f>IFERROR(_xlfn.XLOOKUP($C182,factPensjon[Virksomhetsnr.],factPensjon[Forpliktelser]),"")</f>
        <v/>
      </c>
      <c r="E182" s="148">
        <f>SUMIFS(BasilRadata[Heltidsplasser
0-2],BasilRadata[År],'0. Oppsett'!$C$7-1,BasilRadata[1B. Organisasjonsnummer:],$C182)</f>
        <v>0</v>
      </c>
      <c r="F182" s="25">
        <f>'4. Selvkost og satser'!$B$54</f>
        <v>288170.9461329499</v>
      </c>
      <c r="G182" s="148">
        <f>SUMIFS(BasilRadata[Heltidsplasser
3-6],BasilRadata[År],'0. Oppsett'!$C$7-1,BasilRadata[1B. Organisasjonsnummer:],$C182)</f>
        <v>0</v>
      </c>
      <c r="H182" s="25">
        <f>'4. Selvkost og satser'!$B$55</f>
        <v>156604.23359926464</v>
      </c>
      <c r="I182" s="172">
        <f t="shared" si="9"/>
        <v>0</v>
      </c>
      <c r="J182" s="176">
        <f>SUMIFS(BasilRadata[8E. Oppgi antall årsverk barnehagen har pensjonsforpliktelser for:],BasilRadata[År],'0. Oppsett'!$C$7-1,BasilRadata[1B. Organisasjonsnummer:],'X. Utbetalingsmodul'!$C182)</f>
        <v>0</v>
      </c>
      <c r="K182" s="172" t="e">
        <f>_xlfn.XLOOKUP(C182,'X. Satser pensjonstilskudd'!$C$5:$C$224,'X. Satser pensjonstilskudd'!$I$5:$I$224)</f>
        <v>#DIV/0!</v>
      </c>
      <c r="L182" s="173" t="e">
        <f t="shared" si="10"/>
        <v>#DIV/0!</v>
      </c>
      <c r="M182" s="147">
        <f t="shared" si="11"/>
        <v>0</v>
      </c>
      <c r="N182" s="32">
        <f>IFERROR(M182*'0. Oppsett'!$C$30,0)</f>
        <v>0</v>
      </c>
      <c r="O182" s="33">
        <v>0</v>
      </c>
      <c r="P182" s="33"/>
      <c r="Q182" s="33"/>
      <c r="R182" s="33"/>
      <c r="S182" s="33">
        <v>0</v>
      </c>
      <c r="T182" s="34">
        <v>0</v>
      </c>
      <c r="U182" s="35">
        <f t="shared" si="12"/>
        <v>0</v>
      </c>
    </row>
    <row r="183" spans="1:21" ht="15.75" thickBot="1" x14ac:dyDescent="0.3">
      <c r="A183" s="17">
        <v>179</v>
      </c>
      <c r="B183" s="150">
        <f>'X. Satser pensjonstilskudd'!B183</f>
        <v>0</v>
      </c>
      <c r="C183" s="18">
        <f>'X. Satser pensjonstilskudd'!C183</f>
        <v>0</v>
      </c>
      <c r="D183" s="18" t="str">
        <f>IFERROR(_xlfn.XLOOKUP($C183,factPensjon[Virksomhetsnr.],factPensjon[Forpliktelser]),"")</f>
        <v/>
      </c>
      <c r="E183" s="148">
        <f>SUMIFS(BasilRadata[Heltidsplasser
0-2],BasilRadata[År],'0. Oppsett'!$C$7-1,BasilRadata[1B. Organisasjonsnummer:],$C183)</f>
        <v>0</v>
      </c>
      <c r="F183" s="25">
        <f>'4. Selvkost og satser'!$B$54</f>
        <v>288170.9461329499</v>
      </c>
      <c r="G183" s="148">
        <f>SUMIFS(BasilRadata[Heltidsplasser
3-6],BasilRadata[År],'0. Oppsett'!$C$7-1,BasilRadata[1B. Organisasjonsnummer:],$C183)</f>
        <v>0</v>
      </c>
      <c r="H183" s="25">
        <f>'4. Selvkost og satser'!$B$55</f>
        <v>156604.23359926464</v>
      </c>
      <c r="I183" s="172">
        <f t="shared" si="9"/>
        <v>0</v>
      </c>
      <c r="J183" s="176">
        <f>SUMIFS(BasilRadata[8E. Oppgi antall årsverk barnehagen har pensjonsforpliktelser for:],BasilRadata[År],'0. Oppsett'!$C$7-1,BasilRadata[1B. Organisasjonsnummer:],'X. Utbetalingsmodul'!$C183)</f>
        <v>0</v>
      </c>
      <c r="K183" s="172" t="e">
        <f>_xlfn.XLOOKUP(C183,'X. Satser pensjonstilskudd'!$C$5:$C$224,'X. Satser pensjonstilskudd'!$I$5:$I$224)</f>
        <v>#DIV/0!</v>
      </c>
      <c r="L183" s="173" t="e">
        <f t="shared" si="10"/>
        <v>#DIV/0!</v>
      </c>
      <c r="M183" s="147">
        <f t="shared" si="11"/>
        <v>0</v>
      </c>
      <c r="N183" s="32">
        <f>IFERROR(M183*'0. Oppsett'!$C$30,0)</f>
        <v>0</v>
      </c>
      <c r="O183" s="33">
        <v>0</v>
      </c>
      <c r="P183" s="33"/>
      <c r="Q183" s="33"/>
      <c r="R183" s="33"/>
      <c r="S183" s="33">
        <v>0</v>
      </c>
      <c r="T183" s="34">
        <v>0</v>
      </c>
      <c r="U183" s="35">
        <f t="shared" si="12"/>
        <v>0</v>
      </c>
    </row>
    <row r="184" spans="1:21" ht="15.75" thickBot="1" x14ac:dyDescent="0.3">
      <c r="A184" s="21">
        <v>180</v>
      </c>
      <c r="B184" s="150">
        <f>'X. Satser pensjonstilskudd'!B184</f>
        <v>0</v>
      </c>
      <c r="C184" s="18">
        <f>'X. Satser pensjonstilskudd'!C184</f>
        <v>0</v>
      </c>
      <c r="D184" s="18" t="str">
        <f>IFERROR(_xlfn.XLOOKUP($C184,factPensjon[Virksomhetsnr.],factPensjon[Forpliktelser]),"")</f>
        <v/>
      </c>
      <c r="E184" s="148">
        <f>SUMIFS(BasilRadata[Heltidsplasser
0-2],BasilRadata[År],'0. Oppsett'!$C$7-1,BasilRadata[1B. Organisasjonsnummer:],$C184)</f>
        <v>0</v>
      </c>
      <c r="F184" s="25">
        <f>'4. Selvkost og satser'!$B$54</f>
        <v>288170.9461329499</v>
      </c>
      <c r="G184" s="148">
        <f>SUMIFS(BasilRadata[Heltidsplasser
3-6],BasilRadata[År],'0. Oppsett'!$C$7-1,BasilRadata[1B. Organisasjonsnummer:],$C184)</f>
        <v>0</v>
      </c>
      <c r="H184" s="25">
        <f>'4. Selvkost og satser'!$B$55</f>
        <v>156604.23359926464</v>
      </c>
      <c r="I184" s="172">
        <f t="shared" si="9"/>
        <v>0</v>
      </c>
      <c r="J184" s="176">
        <f>SUMIFS(BasilRadata[8E. Oppgi antall årsverk barnehagen har pensjonsforpliktelser for:],BasilRadata[År],'0. Oppsett'!$C$7-1,BasilRadata[1B. Organisasjonsnummer:],'X. Utbetalingsmodul'!$C184)</f>
        <v>0</v>
      </c>
      <c r="K184" s="172" t="e">
        <f>_xlfn.XLOOKUP(C184,'X. Satser pensjonstilskudd'!$C$5:$C$224,'X. Satser pensjonstilskudd'!$I$5:$I$224)</f>
        <v>#DIV/0!</v>
      </c>
      <c r="L184" s="173" t="e">
        <f t="shared" si="10"/>
        <v>#DIV/0!</v>
      </c>
      <c r="M184" s="147">
        <f t="shared" si="11"/>
        <v>0</v>
      </c>
      <c r="N184" s="32">
        <f>IFERROR(M184*'0. Oppsett'!$C$30,0)</f>
        <v>0</v>
      </c>
      <c r="O184" s="33">
        <v>0</v>
      </c>
      <c r="P184" s="33"/>
      <c r="Q184" s="33"/>
      <c r="R184" s="33"/>
      <c r="S184" s="33">
        <v>0</v>
      </c>
      <c r="T184" s="34">
        <v>0</v>
      </c>
      <c r="U184" s="35">
        <f t="shared" si="12"/>
        <v>0</v>
      </c>
    </row>
    <row r="185" spans="1:21" ht="15.75" thickBot="1" x14ac:dyDescent="0.3">
      <c r="A185" s="17">
        <v>181</v>
      </c>
      <c r="B185" s="150">
        <f>'X. Satser pensjonstilskudd'!B185</f>
        <v>0</v>
      </c>
      <c r="C185" s="18">
        <f>'X. Satser pensjonstilskudd'!C185</f>
        <v>0</v>
      </c>
      <c r="D185" s="18" t="str">
        <f>IFERROR(_xlfn.XLOOKUP($C185,factPensjon[Virksomhetsnr.],factPensjon[Forpliktelser]),"")</f>
        <v/>
      </c>
      <c r="E185" s="148">
        <f>SUMIFS(BasilRadata[Heltidsplasser
0-2],BasilRadata[År],'0. Oppsett'!$C$7-1,BasilRadata[1B. Organisasjonsnummer:],$C185)</f>
        <v>0</v>
      </c>
      <c r="F185" s="25">
        <f>'4. Selvkost og satser'!$B$54</f>
        <v>288170.9461329499</v>
      </c>
      <c r="G185" s="148">
        <f>SUMIFS(BasilRadata[Heltidsplasser
3-6],BasilRadata[År],'0. Oppsett'!$C$7-1,BasilRadata[1B. Organisasjonsnummer:],$C185)</f>
        <v>0</v>
      </c>
      <c r="H185" s="25">
        <f>'4. Selvkost og satser'!$B$55</f>
        <v>156604.23359926464</v>
      </c>
      <c r="I185" s="172">
        <f t="shared" si="9"/>
        <v>0</v>
      </c>
      <c r="J185" s="176">
        <f>SUMIFS(BasilRadata[8E. Oppgi antall årsverk barnehagen har pensjonsforpliktelser for:],BasilRadata[År],'0. Oppsett'!$C$7-1,BasilRadata[1B. Organisasjonsnummer:],'X. Utbetalingsmodul'!$C185)</f>
        <v>0</v>
      </c>
      <c r="K185" s="172" t="e">
        <f>_xlfn.XLOOKUP(C185,'X. Satser pensjonstilskudd'!$C$5:$C$224,'X. Satser pensjonstilskudd'!$I$5:$I$224)</f>
        <v>#DIV/0!</v>
      </c>
      <c r="L185" s="173" t="e">
        <f t="shared" si="10"/>
        <v>#DIV/0!</v>
      </c>
      <c r="M185" s="147">
        <f t="shared" si="11"/>
        <v>0</v>
      </c>
      <c r="N185" s="32">
        <f>IFERROR(M185*'0. Oppsett'!$C$30,0)</f>
        <v>0</v>
      </c>
      <c r="O185" s="33">
        <v>0</v>
      </c>
      <c r="P185" s="33"/>
      <c r="Q185" s="33"/>
      <c r="R185" s="33"/>
      <c r="S185" s="33">
        <v>0</v>
      </c>
      <c r="T185" s="34">
        <v>0</v>
      </c>
      <c r="U185" s="35">
        <f t="shared" si="12"/>
        <v>0</v>
      </c>
    </row>
    <row r="186" spans="1:21" ht="15.75" thickBot="1" x14ac:dyDescent="0.3">
      <c r="A186" s="21">
        <v>182</v>
      </c>
      <c r="B186" s="150">
        <f>'X. Satser pensjonstilskudd'!B186</f>
        <v>0</v>
      </c>
      <c r="C186" s="18">
        <f>'X. Satser pensjonstilskudd'!C186</f>
        <v>0</v>
      </c>
      <c r="D186" s="18" t="str">
        <f>IFERROR(_xlfn.XLOOKUP($C186,factPensjon[Virksomhetsnr.],factPensjon[Forpliktelser]),"")</f>
        <v/>
      </c>
      <c r="E186" s="148">
        <f>SUMIFS(BasilRadata[Heltidsplasser
0-2],BasilRadata[År],'0. Oppsett'!$C$7-1,BasilRadata[1B. Organisasjonsnummer:],$C186)</f>
        <v>0</v>
      </c>
      <c r="F186" s="25">
        <f>'4. Selvkost og satser'!$B$54</f>
        <v>288170.9461329499</v>
      </c>
      <c r="G186" s="148">
        <f>SUMIFS(BasilRadata[Heltidsplasser
3-6],BasilRadata[År],'0. Oppsett'!$C$7-1,BasilRadata[1B. Organisasjonsnummer:],$C186)</f>
        <v>0</v>
      </c>
      <c r="H186" s="25">
        <f>'4. Selvkost og satser'!$B$55</f>
        <v>156604.23359926464</v>
      </c>
      <c r="I186" s="172">
        <f t="shared" si="9"/>
        <v>0</v>
      </c>
      <c r="J186" s="176">
        <f>SUMIFS(BasilRadata[8E. Oppgi antall årsverk barnehagen har pensjonsforpliktelser for:],BasilRadata[År],'0. Oppsett'!$C$7-1,BasilRadata[1B. Organisasjonsnummer:],'X. Utbetalingsmodul'!$C186)</f>
        <v>0</v>
      </c>
      <c r="K186" s="172" t="e">
        <f>_xlfn.XLOOKUP(C186,'X. Satser pensjonstilskudd'!$C$5:$C$224,'X. Satser pensjonstilskudd'!$I$5:$I$224)</f>
        <v>#DIV/0!</v>
      </c>
      <c r="L186" s="173" t="e">
        <f t="shared" si="10"/>
        <v>#DIV/0!</v>
      </c>
      <c r="M186" s="147">
        <f t="shared" si="11"/>
        <v>0</v>
      </c>
      <c r="N186" s="32">
        <f>IFERROR(M186*'0. Oppsett'!$C$30,0)</f>
        <v>0</v>
      </c>
      <c r="O186" s="33">
        <v>0</v>
      </c>
      <c r="P186" s="33"/>
      <c r="Q186" s="33"/>
      <c r="R186" s="33"/>
      <c r="S186" s="33">
        <v>0</v>
      </c>
      <c r="T186" s="34">
        <v>0</v>
      </c>
      <c r="U186" s="35">
        <f t="shared" si="12"/>
        <v>0</v>
      </c>
    </row>
    <row r="187" spans="1:21" ht="15.75" thickBot="1" x14ac:dyDescent="0.3">
      <c r="A187" s="17">
        <v>183</v>
      </c>
      <c r="B187" s="150">
        <f>'X. Satser pensjonstilskudd'!B187</f>
        <v>0</v>
      </c>
      <c r="C187" s="18">
        <f>'X. Satser pensjonstilskudd'!C187</f>
        <v>0</v>
      </c>
      <c r="D187" s="18" t="str">
        <f>IFERROR(_xlfn.XLOOKUP($C187,factPensjon[Virksomhetsnr.],factPensjon[Forpliktelser]),"")</f>
        <v/>
      </c>
      <c r="E187" s="148">
        <f>SUMIFS(BasilRadata[Heltidsplasser
0-2],BasilRadata[År],'0. Oppsett'!$C$7-1,BasilRadata[1B. Organisasjonsnummer:],$C187)</f>
        <v>0</v>
      </c>
      <c r="F187" s="25">
        <f>'4. Selvkost og satser'!$B$54</f>
        <v>288170.9461329499</v>
      </c>
      <c r="G187" s="148">
        <f>SUMIFS(BasilRadata[Heltidsplasser
3-6],BasilRadata[År],'0. Oppsett'!$C$7-1,BasilRadata[1B. Organisasjonsnummer:],$C187)</f>
        <v>0</v>
      </c>
      <c r="H187" s="25">
        <f>'4. Selvkost og satser'!$B$55</f>
        <v>156604.23359926464</v>
      </c>
      <c r="I187" s="172">
        <f t="shared" si="9"/>
        <v>0</v>
      </c>
      <c r="J187" s="176">
        <f>SUMIFS(BasilRadata[8E. Oppgi antall årsverk barnehagen har pensjonsforpliktelser for:],BasilRadata[År],'0. Oppsett'!$C$7-1,BasilRadata[1B. Organisasjonsnummer:],'X. Utbetalingsmodul'!$C187)</f>
        <v>0</v>
      </c>
      <c r="K187" s="172" t="e">
        <f>_xlfn.XLOOKUP(C187,'X. Satser pensjonstilskudd'!$C$5:$C$224,'X. Satser pensjonstilskudd'!$I$5:$I$224)</f>
        <v>#DIV/0!</v>
      </c>
      <c r="L187" s="173" t="e">
        <f t="shared" si="10"/>
        <v>#DIV/0!</v>
      </c>
      <c r="M187" s="147">
        <f t="shared" si="11"/>
        <v>0</v>
      </c>
      <c r="N187" s="32">
        <f>IFERROR(M187*'0. Oppsett'!$C$30,0)</f>
        <v>0</v>
      </c>
      <c r="O187" s="33">
        <v>0</v>
      </c>
      <c r="P187" s="33"/>
      <c r="Q187" s="33"/>
      <c r="R187" s="33"/>
      <c r="S187" s="33">
        <v>0</v>
      </c>
      <c r="T187" s="34">
        <v>0</v>
      </c>
      <c r="U187" s="35">
        <f t="shared" si="12"/>
        <v>0</v>
      </c>
    </row>
    <row r="188" spans="1:21" ht="15.75" thickBot="1" x14ac:dyDescent="0.3">
      <c r="A188" s="21">
        <v>184</v>
      </c>
      <c r="B188" s="150">
        <f>'X. Satser pensjonstilskudd'!B188</f>
        <v>0</v>
      </c>
      <c r="C188" s="18">
        <f>'X. Satser pensjonstilskudd'!C188</f>
        <v>0</v>
      </c>
      <c r="D188" s="18" t="str">
        <f>IFERROR(_xlfn.XLOOKUP($C188,factPensjon[Virksomhetsnr.],factPensjon[Forpliktelser]),"")</f>
        <v/>
      </c>
      <c r="E188" s="148">
        <f>SUMIFS(BasilRadata[Heltidsplasser
0-2],BasilRadata[År],'0. Oppsett'!$C$7-1,BasilRadata[1B. Organisasjonsnummer:],$C188)</f>
        <v>0</v>
      </c>
      <c r="F188" s="25">
        <f>'4. Selvkost og satser'!$B$54</f>
        <v>288170.9461329499</v>
      </c>
      <c r="G188" s="148">
        <f>SUMIFS(BasilRadata[Heltidsplasser
3-6],BasilRadata[År],'0. Oppsett'!$C$7-1,BasilRadata[1B. Organisasjonsnummer:],$C188)</f>
        <v>0</v>
      </c>
      <c r="H188" s="25">
        <f>'4. Selvkost og satser'!$B$55</f>
        <v>156604.23359926464</v>
      </c>
      <c r="I188" s="172">
        <f t="shared" si="9"/>
        <v>0</v>
      </c>
      <c r="J188" s="176">
        <f>SUMIFS(BasilRadata[8E. Oppgi antall årsverk barnehagen har pensjonsforpliktelser for:],BasilRadata[År],'0. Oppsett'!$C$7-1,BasilRadata[1B. Organisasjonsnummer:],'X. Utbetalingsmodul'!$C188)</f>
        <v>0</v>
      </c>
      <c r="K188" s="172" t="e">
        <f>_xlfn.XLOOKUP(C188,'X. Satser pensjonstilskudd'!$C$5:$C$224,'X. Satser pensjonstilskudd'!$I$5:$I$224)</f>
        <v>#DIV/0!</v>
      </c>
      <c r="L188" s="173" t="e">
        <f t="shared" si="10"/>
        <v>#DIV/0!</v>
      </c>
      <c r="M188" s="147">
        <f t="shared" si="11"/>
        <v>0</v>
      </c>
      <c r="N188" s="32">
        <f>IFERROR(M188*'0. Oppsett'!$C$30,0)</f>
        <v>0</v>
      </c>
      <c r="O188" s="33">
        <v>0</v>
      </c>
      <c r="P188" s="33"/>
      <c r="Q188" s="33"/>
      <c r="R188" s="33"/>
      <c r="S188" s="33">
        <v>0</v>
      </c>
      <c r="T188" s="34">
        <v>0</v>
      </c>
      <c r="U188" s="35">
        <f t="shared" si="12"/>
        <v>0</v>
      </c>
    </row>
    <row r="189" spans="1:21" ht="15.75" thickBot="1" x14ac:dyDescent="0.3">
      <c r="A189" s="17">
        <v>185</v>
      </c>
      <c r="B189" s="150">
        <f>'X. Satser pensjonstilskudd'!B189</f>
        <v>0</v>
      </c>
      <c r="C189" s="18">
        <f>'X. Satser pensjonstilskudd'!C189</f>
        <v>0</v>
      </c>
      <c r="D189" s="18" t="str">
        <f>IFERROR(_xlfn.XLOOKUP($C189,factPensjon[Virksomhetsnr.],factPensjon[Forpliktelser]),"")</f>
        <v/>
      </c>
      <c r="E189" s="148">
        <f>SUMIFS(BasilRadata[Heltidsplasser
0-2],BasilRadata[År],'0. Oppsett'!$C$7-1,BasilRadata[1B. Organisasjonsnummer:],$C189)</f>
        <v>0</v>
      </c>
      <c r="F189" s="25">
        <f>'4. Selvkost og satser'!$B$54</f>
        <v>288170.9461329499</v>
      </c>
      <c r="G189" s="148">
        <f>SUMIFS(BasilRadata[Heltidsplasser
3-6],BasilRadata[År],'0. Oppsett'!$C$7-1,BasilRadata[1B. Organisasjonsnummer:],$C189)</f>
        <v>0</v>
      </c>
      <c r="H189" s="25">
        <f>'4. Selvkost og satser'!$B$55</f>
        <v>156604.23359926464</v>
      </c>
      <c r="I189" s="172">
        <f t="shared" si="9"/>
        <v>0</v>
      </c>
      <c r="J189" s="176">
        <f>SUMIFS(BasilRadata[8E. Oppgi antall årsverk barnehagen har pensjonsforpliktelser for:],BasilRadata[År],'0. Oppsett'!$C$7-1,BasilRadata[1B. Organisasjonsnummer:],'X. Utbetalingsmodul'!$C189)</f>
        <v>0</v>
      </c>
      <c r="K189" s="172" t="e">
        <f>_xlfn.XLOOKUP(C189,'X. Satser pensjonstilskudd'!$C$5:$C$224,'X. Satser pensjonstilskudd'!$I$5:$I$224)</f>
        <v>#DIV/0!</v>
      </c>
      <c r="L189" s="173" t="e">
        <f t="shared" si="10"/>
        <v>#DIV/0!</v>
      </c>
      <c r="M189" s="147">
        <f t="shared" si="11"/>
        <v>0</v>
      </c>
      <c r="N189" s="32">
        <f>IFERROR(M189*'0. Oppsett'!$C$30,0)</f>
        <v>0</v>
      </c>
      <c r="O189" s="33">
        <v>0</v>
      </c>
      <c r="P189" s="33"/>
      <c r="Q189" s="33"/>
      <c r="R189" s="33"/>
      <c r="S189" s="33">
        <v>0</v>
      </c>
      <c r="T189" s="34">
        <v>0</v>
      </c>
      <c r="U189" s="35">
        <f t="shared" si="12"/>
        <v>0</v>
      </c>
    </row>
    <row r="190" spans="1:21" ht="15.75" thickBot="1" x14ac:dyDescent="0.3">
      <c r="A190" s="21">
        <v>186</v>
      </c>
      <c r="B190" s="150">
        <f>'X. Satser pensjonstilskudd'!B190</f>
        <v>0</v>
      </c>
      <c r="C190" s="18">
        <f>'X. Satser pensjonstilskudd'!C190</f>
        <v>0</v>
      </c>
      <c r="D190" s="18" t="str">
        <f>IFERROR(_xlfn.XLOOKUP($C190,factPensjon[Virksomhetsnr.],factPensjon[Forpliktelser]),"")</f>
        <v/>
      </c>
      <c r="E190" s="148">
        <f>SUMIFS(BasilRadata[Heltidsplasser
0-2],BasilRadata[År],'0. Oppsett'!$C$7-1,BasilRadata[1B. Organisasjonsnummer:],$C190)</f>
        <v>0</v>
      </c>
      <c r="F190" s="25">
        <f>'4. Selvkost og satser'!$B$54</f>
        <v>288170.9461329499</v>
      </c>
      <c r="G190" s="148">
        <f>SUMIFS(BasilRadata[Heltidsplasser
3-6],BasilRadata[År],'0. Oppsett'!$C$7-1,BasilRadata[1B. Organisasjonsnummer:],$C190)</f>
        <v>0</v>
      </c>
      <c r="H190" s="25">
        <f>'4. Selvkost og satser'!$B$55</f>
        <v>156604.23359926464</v>
      </c>
      <c r="I190" s="172">
        <f t="shared" si="9"/>
        <v>0</v>
      </c>
      <c r="J190" s="176">
        <f>SUMIFS(BasilRadata[8E. Oppgi antall årsverk barnehagen har pensjonsforpliktelser for:],BasilRadata[År],'0. Oppsett'!$C$7-1,BasilRadata[1B. Organisasjonsnummer:],'X. Utbetalingsmodul'!$C190)</f>
        <v>0</v>
      </c>
      <c r="K190" s="172" t="e">
        <f>_xlfn.XLOOKUP(C190,'X. Satser pensjonstilskudd'!$C$5:$C$224,'X. Satser pensjonstilskudd'!$I$5:$I$224)</f>
        <v>#DIV/0!</v>
      </c>
      <c r="L190" s="173" t="e">
        <f t="shared" si="10"/>
        <v>#DIV/0!</v>
      </c>
      <c r="M190" s="147">
        <f t="shared" si="11"/>
        <v>0</v>
      </c>
      <c r="N190" s="32">
        <f>IFERROR(M190*'0. Oppsett'!$C$30,0)</f>
        <v>0</v>
      </c>
      <c r="O190" s="33">
        <v>0</v>
      </c>
      <c r="P190" s="33"/>
      <c r="Q190" s="33"/>
      <c r="R190" s="33"/>
      <c r="S190" s="33">
        <v>0</v>
      </c>
      <c r="T190" s="34">
        <v>0</v>
      </c>
      <c r="U190" s="35">
        <f t="shared" si="12"/>
        <v>0</v>
      </c>
    </row>
    <row r="191" spans="1:21" ht="15.75" thickBot="1" x14ac:dyDescent="0.3">
      <c r="A191" s="17">
        <v>187</v>
      </c>
      <c r="B191" s="150">
        <f>'X. Satser pensjonstilskudd'!B191</f>
        <v>0</v>
      </c>
      <c r="C191" s="18">
        <f>'X. Satser pensjonstilskudd'!C191</f>
        <v>0</v>
      </c>
      <c r="D191" s="18" t="str">
        <f>IFERROR(_xlfn.XLOOKUP($C191,factPensjon[Virksomhetsnr.],factPensjon[Forpliktelser]),"")</f>
        <v/>
      </c>
      <c r="E191" s="148">
        <f>SUMIFS(BasilRadata[Heltidsplasser
0-2],BasilRadata[År],'0. Oppsett'!$C$7-1,BasilRadata[1B. Organisasjonsnummer:],$C191)</f>
        <v>0</v>
      </c>
      <c r="F191" s="25">
        <f>'4. Selvkost og satser'!$B$54</f>
        <v>288170.9461329499</v>
      </c>
      <c r="G191" s="148">
        <f>SUMIFS(BasilRadata[Heltidsplasser
3-6],BasilRadata[År],'0. Oppsett'!$C$7-1,BasilRadata[1B. Organisasjonsnummer:],$C191)</f>
        <v>0</v>
      </c>
      <c r="H191" s="25">
        <f>'4. Selvkost og satser'!$B$55</f>
        <v>156604.23359926464</v>
      </c>
      <c r="I191" s="172">
        <f t="shared" si="9"/>
        <v>0</v>
      </c>
      <c r="J191" s="176">
        <f>SUMIFS(BasilRadata[8E. Oppgi antall årsverk barnehagen har pensjonsforpliktelser for:],BasilRadata[År],'0. Oppsett'!$C$7-1,BasilRadata[1B. Organisasjonsnummer:],'X. Utbetalingsmodul'!$C191)</f>
        <v>0</v>
      </c>
      <c r="K191" s="172" t="e">
        <f>_xlfn.XLOOKUP(C191,'X. Satser pensjonstilskudd'!$C$5:$C$224,'X. Satser pensjonstilskudd'!$I$5:$I$224)</f>
        <v>#DIV/0!</v>
      </c>
      <c r="L191" s="173" t="e">
        <f t="shared" si="10"/>
        <v>#DIV/0!</v>
      </c>
      <c r="M191" s="147">
        <f t="shared" si="11"/>
        <v>0</v>
      </c>
      <c r="N191" s="32">
        <f>IFERROR(M191*'0. Oppsett'!$C$30,0)</f>
        <v>0</v>
      </c>
      <c r="O191" s="33">
        <v>0</v>
      </c>
      <c r="P191" s="33"/>
      <c r="Q191" s="33"/>
      <c r="R191" s="33"/>
      <c r="S191" s="33">
        <v>0</v>
      </c>
      <c r="T191" s="34">
        <v>0</v>
      </c>
      <c r="U191" s="35">
        <f t="shared" si="12"/>
        <v>0</v>
      </c>
    </row>
    <row r="192" spans="1:21" ht="15.75" thickBot="1" x14ac:dyDescent="0.3">
      <c r="A192" s="21">
        <v>188</v>
      </c>
      <c r="B192" s="150">
        <f>'X. Satser pensjonstilskudd'!B192</f>
        <v>0</v>
      </c>
      <c r="C192" s="18">
        <f>'X. Satser pensjonstilskudd'!C192</f>
        <v>0</v>
      </c>
      <c r="D192" s="18" t="str">
        <f>IFERROR(_xlfn.XLOOKUP($C192,factPensjon[Virksomhetsnr.],factPensjon[Forpliktelser]),"")</f>
        <v/>
      </c>
      <c r="E192" s="148">
        <f>SUMIFS(BasilRadata[Heltidsplasser
0-2],BasilRadata[År],'0. Oppsett'!$C$7-1,BasilRadata[1B. Organisasjonsnummer:],$C192)</f>
        <v>0</v>
      </c>
      <c r="F192" s="25">
        <f>'4. Selvkost og satser'!$B$54</f>
        <v>288170.9461329499</v>
      </c>
      <c r="G192" s="148">
        <f>SUMIFS(BasilRadata[Heltidsplasser
3-6],BasilRadata[År],'0. Oppsett'!$C$7-1,BasilRadata[1B. Organisasjonsnummer:],$C192)</f>
        <v>0</v>
      </c>
      <c r="H192" s="25">
        <f>'4. Selvkost og satser'!$B$55</f>
        <v>156604.23359926464</v>
      </c>
      <c r="I192" s="172">
        <f t="shared" si="9"/>
        <v>0</v>
      </c>
      <c r="J192" s="176">
        <f>SUMIFS(BasilRadata[8E. Oppgi antall årsverk barnehagen har pensjonsforpliktelser for:],BasilRadata[År],'0. Oppsett'!$C$7-1,BasilRadata[1B. Organisasjonsnummer:],'X. Utbetalingsmodul'!$C192)</f>
        <v>0</v>
      </c>
      <c r="K192" s="172" t="e">
        <f>_xlfn.XLOOKUP(C192,'X. Satser pensjonstilskudd'!$C$5:$C$224,'X. Satser pensjonstilskudd'!$I$5:$I$224)</f>
        <v>#DIV/0!</v>
      </c>
      <c r="L192" s="173" t="e">
        <f t="shared" si="10"/>
        <v>#DIV/0!</v>
      </c>
      <c r="M192" s="147">
        <f t="shared" si="11"/>
        <v>0</v>
      </c>
      <c r="N192" s="32">
        <f>IFERROR(M192*'0. Oppsett'!$C$30,0)</f>
        <v>0</v>
      </c>
      <c r="O192" s="33">
        <v>0</v>
      </c>
      <c r="P192" s="33"/>
      <c r="Q192" s="33"/>
      <c r="R192" s="33"/>
      <c r="S192" s="33">
        <v>0</v>
      </c>
      <c r="T192" s="34">
        <v>0</v>
      </c>
      <c r="U192" s="35">
        <f t="shared" si="12"/>
        <v>0</v>
      </c>
    </row>
    <row r="193" spans="1:21" ht="15.75" thickBot="1" x14ac:dyDescent="0.3">
      <c r="A193" s="17">
        <v>189</v>
      </c>
      <c r="B193" s="150">
        <f>'X. Satser pensjonstilskudd'!B193</f>
        <v>0</v>
      </c>
      <c r="C193" s="18">
        <f>'X. Satser pensjonstilskudd'!C193</f>
        <v>0</v>
      </c>
      <c r="D193" s="18" t="str">
        <f>IFERROR(_xlfn.XLOOKUP($C193,factPensjon[Virksomhetsnr.],factPensjon[Forpliktelser]),"")</f>
        <v/>
      </c>
      <c r="E193" s="148">
        <f>SUMIFS(BasilRadata[Heltidsplasser
0-2],BasilRadata[År],'0. Oppsett'!$C$7-1,BasilRadata[1B. Organisasjonsnummer:],$C193)</f>
        <v>0</v>
      </c>
      <c r="F193" s="25">
        <f>'4. Selvkost og satser'!$B$54</f>
        <v>288170.9461329499</v>
      </c>
      <c r="G193" s="148">
        <f>SUMIFS(BasilRadata[Heltidsplasser
3-6],BasilRadata[År],'0. Oppsett'!$C$7-1,BasilRadata[1B. Organisasjonsnummer:],$C193)</f>
        <v>0</v>
      </c>
      <c r="H193" s="25">
        <f>'4. Selvkost og satser'!$B$55</f>
        <v>156604.23359926464</v>
      </c>
      <c r="I193" s="172">
        <f t="shared" si="9"/>
        <v>0</v>
      </c>
      <c r="J193" s="176">
        <f>SUMIFS(BasilRadata[8E. Oppgi antall årsverk barnehagen har pensjonsforpliktelser for:],BasilRadata[År],'0. Oppsett'!$C$7-1,BasilRadata[1B. Organisasjonsnummer:],'X. Utbetalingsmodul'!$C193)</f>
        <v>0</v>
      </c>
      <c r="K193" s="172" t="e">
        <f>_xlfn.XLOOKUP(C193,'X. Satser pensjonstilskudd'!$C$5:$C$224,'X. Satser pensjonstilskudd'!$I$5:$I$224)</f>
        <v>#DIV/0!</v>
      </c>
      <c r="L193" s="173" t="e">
        <f t="shared" si="10"/>
        <v>#DIV/0!</v>
      </c>
      <c r="M193" s="147">
        <f t="shared" si="11"/>
        <v>0</v>
      </c>
      <c r="N193" s="32">
        <f>IFERROR(M193*'0. Oppsett'!$C$30,0)</f>
        <v>0</v>
      </c>
      <c r="O193" s="33">
        <v>0</v>
      </c>
      <c r="P193" s="33"/>
      <c r="Q193" s="33"/>
      <c r="R193" s="33"/>
      <c r="S193" s="33">
        <v>0</v>
      </c>
      <c r="T193" s="34">
        <v>0</v>
      </c>
      <c r="U193" s="35">
        <f t="shared" si="12"/>
        <v>0</v>
      </c>
    </row>
    <row r="194" spans="1:21" ht="15.75" thickBot="1" x14ac:dyDescent="0.3">
      <c r="A194" s="21">
        <v>190</v>
      </c>
      <c r="B194" s="150">
        <f>'X. Satser pensjonstilskudd'!B194</f>
        <v>0</v>
      </c>
      <c r="C194" s="18">
        <f>'X. Satser pensjonstilskudd'!C194</f>
        <v>0</v>
      </c>
      <c r="D194" s="18" t="str">
        <f>IFERROR(_xlfn.XLOOKUP($C194,factPensjon[Virksomhetsnr.],factPensjon[Forpliktelser]),"")</f>
        <v/>
      </c>
      <c r="E194" s="148">
        <f>SUMIFS(BasilRadata[Heltidsplasser
0-2],BasilRadata[År],'0. Oppsett'!$C$7-1,BasilRadata[1B. Organisasjonsnummer:],$C194)</f>
        <v>0</v>
      </c>
      <c r="F194" s="25">
        <f>'4. Selvkost og satser'!$B$54</f>
        <v>288170.9461329499</v>
      </c>
      <c r="G194" s="148">
        <f>SUMIFS(BasilRadata[Heltidsplasser
3-6],BasilRadata[År],'0. Oppsett'!$C$7-1,BasilRadata[1B. Organisasjonsnummer:],$C194)</f>
        <v>0</v>
      </c>
      <c r="H194" s="25">
        <f>'4. Selvkost og satser'!$B$55</f>
        <v>156604.23359926464</v>
      </c>
      <c r="I194" s="172">
        <f t="shared" si="9"/>
        <v>0</v>
      </c>
      <c r="J194" s="176">
        <f>SUMIFS(BasilRadata[8E. Oppgi antall årsverk barnehagen har pensjonsforpliktelser for:],BasilRadata[År],'0. Oppsett'!$C$7-1,BasilRadata[1B. Organisasjonsnummer:],'X. Utbetalingsmodul'!$C194)</f>
        <v>0</v>
      </c>
      <c r="K194" s="172" t="e">
        <f>_xlfn.XLOOKUP(C194,'X. Satser pensjonstilskudd'!$C$5:$C$224,'X. Satser pensjonstilskudd'!$I$5:$I$224)</f>
        <v>#DIV/0!</v>
      </c>
      <c r="L194" s="173" t="e">
        <f t="shared" si="10"/>
        <v>#DIV/0!</v>
      </c>
      <c r="M194" s="147">
        <f t="shared" si="11"/>
        <v>0</v>
      </c>
      <c r="N194" s="32">
        <f>IFERROR(M194*'0. Oppsett'!$C$30,0)</f>
        <v>0</v>
      </c>
      <c r="O194" s="33">
        <v>0</v>
      </c>
      <c r="P194" s="33"/>
      <c r="Q194" s="33"/>
      <c r="R194" s="33"/>
      <c r="S194" s="33">
        <v>0</v>
      </c>
      <c r="T194" s="34">
        <v>0</v>
      </c>
      <c r="U194" s="35">
        <f t="shared" si="12"/>
        <v>0</v>
      </c>
    </row>
    <row r="195" spans="1:21" ht="15.75" thickBot="1" x14ac:dyDescent="0.3">
      <c r="A195" s="17">
        <v>191</v>
      </c>
      <c r="B195" s="150">
        <f>'X. Satser pensjonstilskudd'!B195</f>
        <v>0</v>
      </c>
      <c r="C195" s="18">
        <f>'X. Satser pensjonstilskudd'!C195</f>
        <v>0</v>
      </c>
      <c r="D195" s="18" t="str">
        <f>IFERROR(_xlfn.XLOOKUP($C195,factPensjon[Virksomhetsnr.],factPensjon[Forpliktelser]),"")</f>
        <v/>
      </c>
      <c r="E195" s="148">
        <f>SUMIFS(BasilRadata[Heltidsplasser
0-2],BasilRadata[År],'0. Oppsett'!$C$7-1,BasilRadata[1B. Organisasjonsnummer:],$C195)</f>
        <v>0</v>
      </c>
      <c r="F195" s="25">
        <f>'4. Selvkost og satser'!$B$54</f>
        <v>288170.9461329499</v>
      </c>
      <c r="G195" s="148">
        <f>SUMIFS(BasilRadata[Heltidsplasser
3-6],BasilRadata[År],'0. Oppsett'!$C$7-1,BasilRadata[1B. Organisasjonsnummer:],$C195)</f>
        <v>0</v>
      </c>
      <c r="H195" s="25">
        <f>'4. Selvkost og satser'!$B$55</f>
        <v>156604.23359926464</v>
      </c>
      <c r="I195" s="172">
        <f t="shared" si="9"/>
        <v>0</v>
      </c>
      <c r="J195" s="176">
        <f>SUMIFS(BasilRadata[8E. Oppgi antall årsverk barnehagen har pensjonsforpliktelser for:],BasilRadata[År],'0. Oppsett'!$C$7-1,BasilRadata[1B. Organisasjonsnummer:],'X. Utbetalingsmodul'!$C195)</f>
        <v>0</v>
      </c>
      <c r="K195" s="172" t="e">
        <f>_xlfn.XLOOKUP(C195,'X. Satser pensjonstilskudd'!$C$5:$C$224,'X. Satser pensjonstilskudd'!$I$5:$I$224)</f>
        <v>#DIV/0!</v>
      </c>
      <c r="L195" s="173" t="e">
        <f t="shared" si="10"/>
        <v>#DIV/0!</v>
      </c>
      <c r="M195" s="147">
        <f t="shared" si="11"/>
        <v>0</v>
      </c>
      <c r="N195" s="32">
        <f>IFERROR(M195*'0. Oppsett'!$C$30,0)</f>
        <v>0</v>
      </c>
      <c r="O195" s="33">
        <v>0</v>
      </c>
      <c r="P195" s="33"/>
      <c r="Q195" s="33"/>
      <c r="R195" s="33"/>
      <c r="S195" s="33">
        <v>0</v>
      </c>
      <c r="T195" s="34">
        <v>0</v>
      </c>
      <c r="U195" s="35">
        <f t="shared" si="12"/>
        <v>0</v>
      </c>
    </row>
    <row r="196" spans="1:21" ht="15.75" thickBot="1" x14ac:dyDescent="0.3">
      <c r="A196" s="21">
        <v>192</v>
      </c>
      <c r="B196" s="150">
        <f>'X. Satser pensjonstilskudd'!B196</f>
        <v>0</v>
      </c>
      <c r="C196" s="18">
        <f>'X. Satser pensjonstilskudd'!C196</f>
        <v>0</v>
      </c>
      <c r="D196" s="18" t="str">
        <f>IFERROR(_xlfn.XLOOKUP($C196,factPensjon[Virksomhetsnr.],factPensjon[Forpliktelser]),"")</f>
        <v/>
      </c>
      <c r="E196" s="148">
        <f>SUMIFS(BasilRadata[Heltidsplasser
0-2],BasilRadata[År],'0. Oppsett'!$C$7-1,BasilRadata[1B. Organisasjonsnummer:],$C196)</f>
        <v>0</v>
      </c>
      <c r="F196" s="25">
        <f>'4. Selvkost og satser'!$B$54</f>
        <v>288170.9461329499</v>
      </c>
      <c r="G196" s="148">
        <f>SUMIFS(BasilRadata[Heltidsplasser
3-6],BasilRadata[År],'0. Oppsett'!$C$7-1,BasilRadata[1B. Organisasjonsnummer:],$C196)</f>
        <v>0</v>
      </c>
      <c r="H196" s="25">
        <f>'4. Selvkost og satser'!$B$55</f>
        <v>156604.23359926464</v>
      </c>
      <c r="I196" s="172">
        <f t="shared" si="9"/>
        <v>0</v>
      </c>
      <c r="J196" s="176">
        <f>SUMIFS(BasilRadata[8E. Oppgi antall årsverk barnehagen har pensjonsforpliktelser for:],BasilRadata[År],'0. Oppsett'!$C$7-1,BasilRadata[1B. Organisasjonsnummer:],'X. Utbetalingsmodul'!$C196)</f>
        <v>0</v>
      </c>
      <c r="K196" s="172" t="e">
        <f>_xlfn.XLOOKUP(C196,'X. Satser pensjonstilskudd'!$C$5:$C$224,'X. Satser pensjonstilskudd'!$I$5:$I$224)</f>
        <v>#DIV/0!</v>
      </c>
      <c r="L196" s="173" t="e">
        <f t="shared" si="10"/>
        <v>#DIV/0!</v>
      </c>
      <c r="M196" s="147">
        <f t="shared" si="11"/>
        <v>0</v>
      </c>
      <c r="N196" s="32">
        <f>IFERROR(M196*'0. Oppsett'!$C$30,0)</f>
        <v>0</v>
      </c>
      <c r="O196" s="33">
        <v>0</v>
      </c>
      <c r="P196" s="33"/>
      <c r="Q196" s="33"/>
      <c r="R196" s="33"/>
      <c r="S196" s="33">
        <v>0</v>
      </c>
      <c r="T196" s="34">
        <v>0</v>
      </c>
      <c r="U196" s="35">
        <f t="shared" si="12"/>
        <v>0</v>
      </c>
    </row>
    <row r="197" spans="1:21" ht="15.75" thickBot="1" x14ac:dyDescent="0.3">
      <c r="A197" s="17">
        <v>193</v>
      </c>
      <c r="B197" s="150">
        <f>'X. Satser pensjonstilskudd'!B197</f>
        <v>0</v>
      </c>
      <c r="C197" s="18">
        <f>'X. Satser pensjonstilskudd'!C197</f>
        <v>0</v>
      </c>
      <c r="D197" s="18" t="str">
        <f>IFERROR(_xlfn.XLOOKUP($C197,factPensjon[Virksomhetsnr.],factPensjon[Forpliktelser]),"")</f>
        <v/>
      </c>
      <c r="E197" s="148">
        <f>SUMIFS(BasilRadata[Heltidsplasser
0-2],BasilRadata[År],'0. Oppsett'!$C$7-1,BasilRadata[1B. Organisasjonsnummer:],$C197)</f>
        <v>0</v>
      </c>
      <c r="F197" s="25">
        <f>'4. Selvkost og satser'!$B$54</f>
        <v>288170.9461329499</v>
      </c>
      <c r="G197" s="148">
        <f>SUMIFS(BasilRadata[Heltidsplasser
3-6],BasilRadata[År],'0. Oppsett'!$C$7-1,BasilRadata[1B. Organisasjonsnummer:],$C197)</f>
        <v>0</v>
      </c>
      <c r="H197" s="25">
        <f>'4. Selvkost og satser'!$B$55</f>
        <v>156604.23359926464</v>
      </c>
      <c r="I197" s="172">
        <f t="shared" ref="I197:I225" si="13">IFERROR(IF(B197="",0,E197*F197+G197*H197),0)</f>
        <v>0</v>
      </c>
      <c r="J197" s="176">
        <f>SUMIFS(BasilRadata[8E. Oppgi antall årsverk barnehagen har pensjonsforpliktelser for:],BasilRadata[År],'0. Oppsett'!$C$7-1,BasilRadata[1B. Organisasjonsnummer:],'X. Utbetalingsmodul'!$C197)</f>
        <v>0</v>
      </c>
      <c r="K197" s="172" t="e">
        <f>_xlfn.XLOOKUP(C197,'X. Satser pensjonstilskudd'!$C$5:$C$224,'X. Satser pensjonstilskudd'!$I$5:$I$224)</f>
        <v>#DIV/0!</v>
      </c>
      <c r="L197" s="173" t="e">
        <f t="shared" ref="L197:L225" si="14">K197*J197</f>
        <v>#DIV/0!</v>
      </c>
      <c r="M197" s="147">
        <f t="shared" si="11"/>
        <v>0</v>
      </c>
      <c r="N197" s="32">
        <f>IFERROR(M197*'0. Oppsett'!$C$30,0)</f>
        <v>0</v>
      </c>
      <c r="O197" s="33">
        <v>0</v>
      </c>
      <c r="P197" s="33"/>
      <c r="Q197" s="33"/>
      <c r="R197" s="33"/>
      <c r="S197" s="33">
        <v>0</v>
      </c>
      <c r="T197" s="34">
        <v>0</v>
      </c>
      <c r="U197" s="35">
        <f t="shared" si="12"/>
        <v>0</v>
      </c>
    </row>
    <row r="198" spans="1:21" ht="15.75" thickBot="1" x14ac:dyDescent="0.3">
      <c r="A198" s="21">
        <v>194</v>
      </c>
      <c r="B198" s="150">
        <f>'X. Satser pensjonstilskudd'!B198</f>
        <v>0</v>
      </c>
      <c r="C198" s="18">
        <f>'X. Satser pensjonstilskudd'!C198</f>
        <v>0</v>
      </c>
      <c r="D198" s="18" t="str">
        <f>IFERROR(_xlfn.XLOOKUP($C198,factPensjon[Virksomhetsnr.],factPensjon[Forpliktelser]),"")</f>
        <v/>
      </c>
      <c r="E198" s="148">
        <f>SUMIFS(BasilRadata[Heltidsplasser
0-2],BasilRadata[År],'0. Oppsett'!$C$7-1,BasilRadata[1B. Organisasjonsnummer:],$C198)</f>
        <v>0</v>
      </c>
      <c r="F198" s="25">
        <f>'4. Selvkost og satser'!$B$54</f>
        <v>288170.9461329499</v>
      </c>
      <c r="G198" s="148">
        <f>SUMIFS(BasilRadata[Heltidsplasser
3-6],BasilRadata[År],'0. Oppsett'!$C$7-1,BasilRadata[1B. Organisasjonsnummer:],$C198)</f>
        <v>0</v>
      </c>
      <c r="H198" s="25">
        <f>'4. Selvkost og satser'!$B$55</f>
        <v>156604.23359926464</v>
      </c>
      <c r="I198" s="172">
        <f t="shared" si="13"/>
        <v>0</v>
      </c>
      <c r="J198" s="176">
        <f>SUMIFS(BasilRadata[8E. Oppgi antall årsverk barnehagen har pensjonsforpliktelser for:],BasilRadata[År],'0. Oppsett'!$C$7-1,BasilRadata[1B. Organisasjonsnummer:],'X. Utbetalingsmodul'!$C198)</f>
        <v>0</v>
      </c>
      <c r="K198" s="172" t="e">
        <f>_xlfn.XLOOKUP(C198,'X. Satser pensjonstilskudd'!$C$5:$C$224,'X. Satser pensjonstilskudd'!$I$5:$I$224)</f>
        <v>#DIV/0!</v>
      </c>
      <c r="L198" s="173" t="e">
        <f t="shared" si="14"/>
        <v>#DIV/0!</v>
      </c>
      <c r="M198" s="147">
        <f t="shared" ref="M198:M225" si="15">E198+G198</f>
        <v>0</v>
      </c>
      <c r="N198" s="32">
        <f>IFERROR(M198*'0. Oppsett'!$C$30,0)</f>
        <v>0</v>
      </c>
      <c r="O198" s="33">
        <v>0</v>
      </c>
      <c r="P198" s="33"/>
      <c r="Q198" s="33"/>
      <c r="R198" s="33"/>
      <c r="S198" s="33">
        <v>0</v>
      </c>
      <c r="T198" s="34">
        <v>0</v>
      </c>
      <c r="U198" s="35">
        <f t="shared" si="12"/>
        <v>0</v>
      </c>
    </row>
    <row r="199" spans="1:21" ht="15.75" thickBot="1" x14ac:dyDescent="0.3">
      <c r="A199" s="17">
        <v>195</v>
      </c>
      <c r="B199" s="150">
        <f>'X. Satser pensjonstilskudd'!B199</f>
        <v>0</v>
      </c>
      <c r="C199" s="18">
        <f>'X. Satser pensjonstilskudd'!C199</f>
        <v>0</v>
      </c>
      <c r="D199" s="18" t="str">
        <f>IFERROR(_xlfn.XLOOKUP($C199,factPensjon[Virksomhetsnr.],factPensjon[Forpliktelser]),"")</f>
        <v/>
      </c>
      <c r="E199" s="148">
        <f>SUMIFS(BasilRadata[Heltidsplasser
0-2],BasilRadata[År],'0. Oppsett'!$C$7-1,BasilRadata[1B. Organisasjonsnummer:],$C199)</f>
        <v>0</v>
      </c>
      <c r="F199" s="25">
        <f>'4. Selvkost og satser'!$B$54</f>
        <v>288170.9461329499</v>
      </c>
      <c r="G199" s="148">
        <f>SUMIFS(BasilRadata[Heltidsplasser
3-6],BasilRadata[År],'0. Oppsett'!$C$7-1,BasilRadata[1B. Organisasjonsnummer:],$C199)</f>
        <v>0</v>
      </c>
      <c r="H199" s="25">
        <f>'4. Selvkost og satser'!$B$55</f>
        <v>156604.23359926464</v>
      </c>
      <c r="I199" s="172">
        <f t="shared" si="13"/>
        <v>0</v>
      </c>
      <c r="J199" s="176">
        <f>SUMIFS(BasilRadata[8E. Oppgi antall årsverk barnehagen har pensjonsforpliktelser for:],BasilRadata[År],'0. Oppsett'!$C$7-1,BasilRadata[1B. Organisasjonsnummer:],'X. Utbetalingsmodul'!$C199)</f>
        <v>0</v>
      </c>
      <c r="K199" s="172" t="e">
        <f>_xlfn.XLOOKUP(C199,'X. Satser pensjonstilskudd'!$C$5:$C$224,'X. Satser pensjonstilskudd'!$I$5:$I$224)</f>
        <v>#DIV/0!</v>
      </c>
      <c r="L199" s="173" t="e">
        <f t="shared" si="14"/>
        <v>#DIV/0!</v>
      </c>
      <c r="M199" s="147">
        <f t="shared" si="15"/>
        <v>0</v>
      </c>
      <c r="N199" s="32">
        <f>IFERROR(M199*'0. Oppsett'!$C$30,0)</f>
        <v>0</v>
      </c>
      <c r="O199" s="33">
        <v>0</v>
      </c>
      <c r="P199" s="33"/>
      <c r="Q199" s="33"/>
      <c r="R199" s="33"/>
      <c r="S199" s="33">
        <v>0</v>
      </c>
      <c r="T199" s="34">
        <v>0</v>
      </c>
      <c r="U199" s="35">
        <f t="shared" si="12"/>
        <v>0</v>
      </c>
    </row>
    <row r="200" spans="1:21" ht="15.75" thickBot="1" x14ac:dyDescent="0.3">
      <c r="A200" s="21">
        <v>196</v>
      </c>
      <c r="B200" s="150">
        <f>'X. Satser pensjonstilskudd'!B200</f>
        <v>0</v>
      </c>
      <c r="C200" s="18">
        <f>'X. Satser pensjonstilskudd'!C200</f>
        <v>0</v>
      </c>
      <c r="D200" s="18" t="str">
        <f>IFERROR(_xlfn.XLOOKUP($C200,factPensjon[Virksomhetsnr.],factPensjon[Forpliktelser]),"")</f>
        <v/>
      </c>
      <c r="E200" s="148">
        <f>SUMIFS(BasilRadata[Heltidsplasser
0-2],BasilRadata[År],'0. Oppsett'!$C$7-1,BasilRadata[1B. Organisasjonsnummer:],$C200)</f>
        <v>0</v>
      </c>
      <c r="F200" s="25">
        <f>'4. Selvkost og satser'!$B$54</f>
        <v>288170.9461329499</v>
      </c>
      <c r="G200" s="148">
        <f>SUMIFS(BasilRadata[Heltidsplasser
3-6],BasilRadata[År],'0. Oppsett'!$C$7-1,BasilRadata[1B. Organisasjonsnummer:],$C200)</f>
        <v>0</v>
      </c>
      <c r="H200" s="25">
        <f>'4. Selvkost og satser'!$B$55</f>
        <v>156604.23359926464</v>
      </c>
      <c r="I200" s="172">
        <f t="shared" si="13"/>
        <v>0</v>
      </c>
      <c r="J200" s="176">
        <f>SUMIFS(BasilRadata[8E. Oppgi antall årsverk barnehagen har pensjonsforpliktelser for:],BasilRadata[År],'0. Oppsett'!$C$7-1,BasilRadata[1B. Organisasjonsnummer:],'X. Utbetalingsmodul'!$C200)</f>
        <v>0</v>
      </c>
      <c r="K200" s="172" t="e">
        <f>_xlfn.XLOOKUP(C200,'X. Satser pensjonstilskudd'!$C$5:$C$224,'X. Satser pensjonstilskudd'!$I$5:$I$224)</f>
        <v>#DIV/0!</v>
      </c>
      <c r="L200" s="173" t="e">
        <f t="shared" si="14"/>
        <v>#DIV/0!</v>
      </c>
      <c r="M200" s="147">
        <f t="shared" si="15"/>
        <v>0</v>
      </c>
      <c r="N200" s="32">
        <f>IFERROR(M200*'0. Oppsett'!$C$30,0)</f>
        <v>0</v>
      </c>
      <c r="O200" s="33">
        <v>0</v>
      </c>
      <c r="P200" s="33"/>
      <c r="Q200" s="33"/>
      <c r="R200" s="33"/>
      <c r="S200" s="33">
        <v>0</v>
      </c>
      <c r="T200" s="34">
        <v>0</v>
      </c>
      <c r="U200" s="35">
        <f t="shared" si="12"/>
        <v>0</v>
      </c>
    </row>
    <row r="201" spans="1:21" ht="15.75" thickBot="1" x14ac:dyDescent="0.3">
      <c r="A201" s="17">
        <v>197</v>
      </c>
      <c r="B201" s="150">
        <f>'X. Satser pensjonstilskudd'!B201</f>
        <v>0</v>
      </c>
      <c r="C201" s="18">
        <f>'X. Satser pensjonstilskudd'!C201</f>
        <v>0</v>
      </c>
      <c r="D201" s="18" t="str">
        <f>IFERROR(_xlfn.XLOOKUP($C201,factPensjon[Virksomhetsnr.],factPensjon[Forpliktelser]),"")</f>
        <v/>
      </c>
      <c r="E201" s="148">
        <f>SUMIFS(BasilRadata[Heltidsplasser
0-2],BasilRadata[År],'0. Oppsett'!$C$7-1,BasilRadata[1B. Organisasjonsnummer:],$C201)</f>
        <v>0</v>
      </c>
      <c r="F201" s="25">
        <f>'4. Selvkost og satser'!$B$54</f>
        <v>288170.9461329499</v>
      </c>
      <c r="G201" s="148">
        <f>SUMIFS(BasilRadata[Heltidsplasser
3-6],BasilRadata[År],'0. Oppsett'!$C$7-1,BasilRadata[1B. Organisasjonsnummer:],$C201)</f>
        <v>0</v>
      </c>
      <c r="H201" s="25">
        <f>'4. Selvkost og satser'!$B$55</f>
        <v>156604.23359926464</v>
      </c>
      <c r="I201" s="172">
        <f t="shared" si="13"/>
        <v>0</v>
      </c>
      <c r="J201" s="176">
        <f>SUMIFS(BasilRadata[8E. Oppgi antall årsverk barnehagen har pensjonsforpliktelser for:],BasilRadata[År],'0. Oppsett'!$C$7-1,BasilRadata[1B. Organisasjonsnummer:],'X. Utbetalingsmodul'!$C201)</f>
        <v>0</v>
      </c>
      <c r="K201" s="172" t="e">
        <f>_xlfn.XLOOKUP(C201,'X. Satser pensjonstilskudd'!$C$5:$C$224,'X. Satser pensjonstilskudd'!$I$5:$I$224)</f>
        <v>#DIV/0!</v>
      </c>
      <c r="L201" s="173" t="e">
        <f t="shared" si="14"/>
        <v>#DIV/0!</v>
      </c>
      <c r="M201" s="147">
        <f t="shared" si="15"/>
        <v>0</v>
      </c>
      <c r="N201" s="32">
        <f>IFERROR(M201*'0. Oppsett'!$C$30,0)</f>
        <v>0</v>
      </c>
      <c r="O201" s="33">
        <v>0</v>
      </c>
      <c r="P201" s="33"/>
      <c r="Q201" s="33"/>
      <c r="R201" s="33"/>
      <c r="S201" s="33">
        <v>0</v>
      </c>
      <c r="T201" s="34">
        <v>0</v>
      </c>
      <c r="U201" s="35">
        <f t="shared" si="12"/>
        <v>0</v>
      </c>
    </row>
    <row r="202" spans="1:21" ht="15.75" thickBot="1" x14ac:dyDescent="0.3">
      <c r="A202" s="21">
        <v>198</v>
      </c>
      <c r="B202" s="150">
        <f>'X. Satser pensjonstilskudd'!B202</f>
        <v>0</v>
      </c>
      <c r="C202" s="18">
        <f>'X. Satser pensjonstilskudd'!C202</f>
        <v>0</v>
      </c>
      <c r="D202" s="18" t="str">
        <f>IFERROR(_xlfn.XLOOKUP($C202,factPensjon[Virksomhetsnr.],factPensjon[Forpliktelser]),"")</f>
        <v/>
      </c>
      <c r="E202" s="148">
        <f>SUMIFS(BasilRadata[Heltidsplasser
0-2],BasilRadata[År],'0. Oppsett'!$C$7-1,BasilRadata[1B. Organisasjonsnummer:],$C202)</f>
        <v>0</v>
      </c>
      <c r="F202" s="25">
        <f>'4. Selvkost og satser'!$B$54</f>
        <v>288170.9461329499</v>
      </c>
      <c r="G202" s="148">
        <f>SUMIFS(BasilRadata[Heltidsplasser
3-6],BasilRadata[År],'0. Oppsett'!$C$7-1,BasilRadata[1B. Organisasjonsnummer:],$C202)</f>
        <v>0</v>
      </c>
      <c r="H202" s="25">
        <f>'4. Selvkost og satser'!$B$55</f>
        <v>156604.23359926464</v>
      </c>
      <c r="I202" s="172">
        <f t="shared" si="13"/>
        <v>0</v>
      </c>
      <c r="J202" s="176">
        <f>SUMIFS(BasilRadata[8E. Oppgi antall årsverk barnehagen har pensjonsforpliktelser for:],BasilRadata[År],'0. Oppsett'!$C$7-1,BasilRadata[1B. Organisasjonsnummer:],'X. Utbetalingsmodul'!$C202)</f>
        <v>0</v>
      </c>
      <c r="K202" s="172" t="e">
        <f>_xlfn.XLOOKUP(C202,'X. Satser pensjonstilskudd'!$C$5:$C$224,'X. Satser pensjonstilskudd'!$I$5:$I$224)</f>
        <v>#DIV/0!</v>
      </c>
      <c r="L202" s="173" t="e">
        <f t="shared" si="14"/>
        <v>#DIV/0!</v>
      </c>
      <c r="M202" s="147">
        <f t="shared" si="15"/>
        <v>0</v>
      </c>
      <c r="N202" s="32">
        <f>IFERROR(M202*'0. Oppsett'!$C$30,0)</f>
        <v>0</v>
      </c>
      <c r="O202" s="33">
        <v>0</v>
      </c>
      <c r="P202" s="33"/>
      <c r="Q202" s="33"/>
      <c r="R202" s="33"/>
      <c r="S202" s="33">
        <v>0</v>
      </c>
      <c r="T202" s="34">
        <v>0</v>
      </c>
      <c r="U202" s="35">
        <f t="shared" si="12"/>
        <v>0</v>
      </c>
    </row>
    <row r="203" spans="1:21" ht="15.75" thickBot="1" x14ac:dyDescent="0.3">
      <c r="A203" s="17">
        <v>199</v>
      </c>
      <c r="B203" s="150">
        <f>'X. Satser pensjonstilskudd'!B203</f>
        <v>0</v>
      </c>
      <c r="C203" s="18">
        <f>'X. Satser pensjonstilskudd'!C203</f>
        <v>0</v>
      </c>
      <c r="D203" s="18" t="str">
        <f>IFERROR(_xlfn.XLOOKUP($C203,factPensjon[Virksomhetsnr.],factPensjon[Forpliktelser]),"")</f>
        <v/>
      </c>
      <c r="E203" s="148">
        <f>SUMIFS(BasilRadata[Heltidsplasser
0-2],BasilRadata[År],'0. Oppsett'!$C$7-1,BasilRadata[1B. Organisasjonsnummer:],$C203)</f>
        <v>0</v>
      </c>
      <c r="F203" s="25">
        <f>'4. Selvkost og satser'!$B$54</f>
        <v>288170.9461329499</v>
      </c>
      <c r="G203" s="148">
        <f>SUMIFS(BasilRadata[Heltidsplasser
3-6],BasilRadata[År],'0. Oppsett'!$C$7-1,BasilRadata[1B. Organisasjonsnummer:],$C203)</f>
        <v>0</v>
      </c>
      <c r="H203" s="25">
        <f>'4. Selvkost og satser'!$B$55</f>
        <v>156604.23359926464</v>
      </c>
      <c r="I203" s="172">
        <f t="shared" si="13"/>
        <v>0</v>
      </c>
      <c r="J203" s="176">
        <f>SUMIFS(BasilRadata[8E. Oppgi antall årsverk barnehagen har pensjonsforpliktelser for:],BasilRadata[År],'0. Oppsett'!$C$7-1,BasilRadata[1B. Organisasjonsnummer:],'X. Utbetalingsmodul'!$C203)</f>
        <v>0</v>
      </c>
      <c r="K203" s="172" t="e">
        <f>_xlfn.XLOOKUP(C203,'X. Satser pensjonstilskudd'!$C$5:$C$224,'X. Satser pensjonstilskudd'!$I$5:$I$224)</f>
        <v>#DIV/0!</v>
      </c>
      <c r="L203" s="173" t="e">
        <f t="shared" si="14"/>
        <v>#DIV/0!</v>
      </c>
      <c r="M203" s="147">
        <f t="shared" si="15"/>
        <v>0</v>
      </c>
      <c r="N203" s="32">
        <f>IFERROR(M203*'0. Oppsett'!$C$30,0)</f>
        <v>0</v>
      </c>
      <c r="O203" s="33">
        <v>0</v>
      </c>
      <c r="P203" s="33"/>
      <c r="Q203" s="33"/>
      <c r="R203" s="33"/>
      <c r="S203" s="33">
        <v>0</v>
      </c>
      <c r="T203" s="34">
        <v>0</v>
      </c>
      <c r="U203" s="35">
        <f t="shared" ref="U203:U224" si="16">IFERROR(IF(B203="",0,I203+K203+N203+O203+S203+T203),0)</f>
        <v>0</v>
      </c>
    </row>
    <row r="204" spans="1:21" ht="15.75" thickBot="1" x14ac:dyDescent="0.3">
      <c r="A204" s="21">
        <v>200</v>
      </c>
      <c r="B204" s="150">
        <f>'X. Satser pensjonstilskudd'!B204</f>
        <v>0</v>
      </c>
      <c r="C204" s="18">
        <f>'X. Satser pensjonstilskudd'!C204</f>
        <v>0</v>
      </c>
      <c r="D204" s="18" t="str">
        <f>IFERROR(_xlfn.XLOOKUP($C204,factPensjon[Virksomhetsnr.],factPensjon[Forpliktelser]),"")</f>
        <v/>
      </c>
      <c r="E204" s="148">
        <f>SUMIFS(BasilRadata[Heltidsplasser
0-2],BasilRadata[År],'0. Oppsett'!$C$7-1,BasilRadata[1B. Organisasjonsnummer:],$C204)</f>
        <v>0</v>
      </c>
      <c r="F204" s="25">
        <f>'4. Selvkost og satser'!$B$54</f>
        <v>288170.9461329499</v>
      </c>
      <c r="G204" s="148">
        <f>SUMIFS(BasilRadata[Heltidsplasser
3-6],BasilRadata[År],'0. Oppsett'!$C$7-1,BasilRadata[1B. Organisasjonsnummer:],$C204)</f>
        <v>0</v>
      </c>
      <c r="H204" s="25">
        <f>'4. Selvkost og satser'!$B$55</f>
        <v>156604.23359926464</v>
      </c>
      <c r="I204" s="172">
        <f t="shared" si="13"/>
        <v>0</v>
      </c>
      <c r="J204" s="176">
        <f>SUMIFS(BasilRadata[8E. Oppgi antall årsverk barnehagen har pensjonsforpliktelser for:],BasilRadata[År],'0. Oppsett'!$C$7-1,BasilRadata[1B. Organisasjonsnummer:],'X. Utbetalingsmodul'!$C204)</f>
        <v>0</v>
      </c>
      <c r="K204" s="172" t="e">
        <f>_xlfn.XLOOKUP(C204,'X. Satser pensjonstilskudd'!$C$5:$C$224,'X. Satser pensjonstilskudd'!$I$5:$I$224)</f>
        <v>#DIV/0!</v>
      </c>
      <c r="L204" s="173" t="e">
        <f t="shared" si="14"/>
        <v>#DIV/0!</v>
      </c>
      <c r="M204" s="147">
        <f t="shared" si="15"/>
        <v>0</v>
      </c>
      <c r="N204" s="32">
        <f>IFERROR(M204*'0. Oppsett'!$C$30,0)</f>
        <v>0</v>
      </c>
      <c r="O204" s="33">
        <v>0</v>
      </c>
      <c r="P204" s="33"/>
      <c r="Q204" s="33"/>
      <c r="R204" s="33"/>
      <c r="S204" s="33">
        <v>0</v>
      </c>
      <c r="T204" s="34">
        <v>0</v>
      </c>
      <c r="U204" s="35">
        <f t="shared" si="16"/>
        <v>0</v>
      </c>
    </row>
    <row r="205" spans="1:21" ht="15.75" thickBot="1" x14ac:dyDescent="0.3">
      <c r="A205" s="17">
        <v>201</v>
      </c>
      <c r="B205" s="150">
        <f>'X. Satser pensjonstilskudd'!B205</f>
        <v>0</v>
      </c>
      <c r="C205" s="18">
        <f>'X. Satser pensjonstilskudd'!C205</f>
        <v>0</v>
      </c>
      <c r="D205" s="18" t="str">
        <f>IFERROR(_xlfn.XLOOKUP($C205,factPensjon[Virksomhetsnr.],factPensjon[Forpliktelser]),"")</f>
        <v/>
      </c>
      <c r="E205" s="148">
        <f>SUMIFS(BasilRadata[Heltidsplasser
0-2],BasilRadata[År],'0. Oppsett'!$C$7-1,BasilRadata[1B. Organisasjonsnummer:],$C205)</f>
        <v>0</v>
      </c>
      <c r="F205" s="25">
        <f>'4. Selvkost og satser'!$B$54</f>
        <v>288170.9461329499</v>
      </c>
      <c r="G205" s="148">
        <f>SUMIFS(BasilRadata[Heltidsplasser
3-6],BasilRadata[År],'0. Oppsett'!$C$7-1,BasilRadata[1B. Organisasjonsnummer:],$C205)</f>
        <v>0</v>
      </c>
      <c r="H205" s="25">
        <f>'4. Selvkost og satser'!$B$55</f>
        <v>156604.23359926464</v>
      </c>
      <c r="I205" s="172">
        <f t="shared" si="13"/>
        <v>0</v>
      </c>
      <c r="J205" s="176">
        <f>SUMIFS(BasilRadata[8E. Oppgi antall årsverk barnehagen har pensjonsforpliktelser for:],BasilRadata[År],'0. Oppsett'!$C$7-1,BasilRadata[1B. Organisasjonsnummer:],'X. Utbetalingsmodul'!$C205)</f>
        <v>0</v>
      </c>
      <c r="K205" s="172" t="e">
        <f>_xlfn.XLOOKUP(C205,'X. Satser pensjonstilskudd'!$C$5:$C$224,'X. Satser pensjonstilskudd'!$I$5:$I$224)</f>
        <v>#DIV/0!</v>
      </c>
      <c r="L205" s="173" t="e">
        <f t="shared" si="14"/>
        <v>#DIV/0!</v>
      </c>
      <c r="M205" s="147">
        <f t="shared" si="15"/>
        <v>0</v>
      </c>
      <c r="N205" s="32">
        <f>IFERROR(M205*'0. Oppsett'!$C$30,0)</f>
        <v>0</v>
      </c>
      <c r="O205" s="33">
        <v>0</v>
      </c>
      <c r="P205" s="33"/>
      <c r="Q205" s="33"/>
      <c r="R205" s="33"/>
      <c r="S205" s="33">
        <v>0</v>
      </c>
      <c r="T205" s="34">
        <v>0</v>
      </c>
      <c r="U205" s="35">
        <f t="shared" si="16"/>
        <v>0</v>
      </c>
    </row>
    <row r="206" spans="1:21" ht="15.75" thickBot="1" x14ac:dyDescent="0.3">
      <c r="A206" s="21">
        <v>202</v>
      </c>
      <c r="B206" s="150">
        <f>'X. Satser pensjonstilskudd'!B206</f>
        <v>0</v>
      </c>
      <c r="C206" s="18">
        <f>'X. Satser pensjonstilskudd'!C206</f>
        <v>0</v>
      </c>
      <c r="D206" s="18" t="str">
        <f>IFERROR(_xlfn.XLOOKUP($C206,factPensjon[Virksomhetsnr.],factPensjon[Forpliktelser]),"")</f>
        <v/>
      </c>
      <c r="E206" s="148">
        <f>SUMIFS(BasilRadata[Heltidsplasser
0-2],BasilRadata[År],'0. Oppsett'!$C$7-1,BasilRadata[1B. Organisasjonsnummer:],$C206)</f>
        <v>0</v>
      </c>
      <c r="F206" s="25">
        <f>'4. Selvkost og satser'!$B$54</f>
        <v>288170.9461329499</v>
      </c>
      <c r="G206" s="148">
        <f>SUMIFS(BasilRadata[Heltidsplasser
3-6],BasilRadata[År],'0. Oppsett'!$C$7-1,BasilRadata[1B. Organisasjonsnummer:],$C206)</f>
        <v>0</v>
      </c>
      <c r="H206" s="25">
        <f>'4. Selvkost og satser'!$B$55</f>
        <v>156604.23359926464</v>
      </c>
      <c r="I206" s="172">
        <f t="shared" si="13"/>
        <v>0</v>
      </c>
      <c r="J206" s="176">
        <f>SUMIFS(BasilRadata[8E. Oppgi antall årsverk barnehagen har pensjonsforpliktelser for:],BasilRadata[År],'0. Oppsett'!$C$7-1,BasilRadata[1B. Organisasjonsnummer:],'X. Utbetalingsmodul'!$C206)</f>
        <v>0</v>
      </c>
      <c r="K206" s="172" t="e">
        <f>_xlfn.XLOOKUP(C206,'X. Satser pensjonstilskudd'!$C$5:$C$224,'X. Satser pensjonstilskudd'!$I$5:$I$224)</f>
        <v>#DIV/0!</v>
      </c>
      <c r="L206" s="173" t="e">
        <f t="shared" si="14"/>
        <v>#DIV/0!</v>
      </c>
      <c r="M206" s="147">
        <f t="shared" si="15"/>
        <v>0</v>
      </c>
      <c r="N206" s="32">
        <f>IFERROR(M206*'0. Oppsett'!$C$30,0)</f>
        <v>0</v>
      </c>
      <c r="O206" s="33">
        <v>0</v>
      </c>
      <c r="P206" s="33"/>
      <c r="Q206" s="33"/>
      <c r="R206" s="33"/>
      <c r="S206" s="33">
        <v>0</v>
      </c>
      <c r="T206" s="34">
        <v>0</v>
      </c>
      <c r="U206" s="35">
        <f t="shared" si="16"/>
        <v>0</v>
      </c>
    </row>
    <row r="207" spans="1:21" ht="15.75" thickBot="1" x14ac:dyDescent="0.3">
      <c r="A207" s="17">
        <v>203</v>
      </c>
      <c r="B207" s="150">
        <f>'X. Satser pensjonstilskudd'!B207</f>
        <v>0</v>
      </c>
      <c r="C207" s="18">
        <f>'X. Satser pensjonstilskudd'!C207</f>
        <v>0</v>
      </c>
      <c r="D207" s="18" t="str">
        <f>IFERROR(_xlfn.XLOOKUP($C207,factPensjon[Virksomhetsnr.],factPensjon[Forpliktelser]),"")</f>
        <v/>
      </c>
      <c r="E207" s="148">
        <f>SUMIFS(BasilRadata[Heltidsplasser
0-2],BasilRadata[År],'0. Oppsett'!$C$7-1,BasilRadata[1B. Organisasjonsnummer:],$C207)</f>
        <v>0</v>
      </c>
      <c r="F207" s="25">
        <f>'4. Selvkost og satser'!$B$54</f>
        <v>288170.9461329499</v>
      </c>
      <c r="G207" s="148">
        <f>SUMIFS(BasilRadata[Heltidsplasser
3-6],BasilRadata[År],'0. Oppsett'!$C$7-1,BasilRadata[1B. Organisasjonsnummer:],$C207)</f>
        <v>0</v>
      </c>
      <c r="H207" s="25">
        <f>'4. Selvkost og satser'!$B$55</f>
        <v>156604.23359926464</v>
      </c>
      <c r="I207" s="172">
        <f t="shared" si="13"/>
        <v>0</v>
      </c>
      <c r="J207" s="176">
        <f>SUMIFS(BasilRadata[8E. Oppgi antall årsverk barnehagen har pensjonsforpliktelser for:],BasilRadata[År],'0. Oppsett'!$C$7-1,BasilRadata[1B. Organisasjonsnummer:],'X. Utbetalingsmodul'!$C207)</f>
        <v>0</v>
      </c>
      <c r="K207" s="172" t="e">
        <f>_xlfn.XLOOKUP(C207,'X. Satser pensjonstilskudd'!$C$5:$C$224,'X. Satser pensjonstilskudd'!$I$5:$I$224)</f>
        <v>#DIV/0!</v>
      </c>
      <c r="L207" s="173" t="e">
        <f t="shared" si="14"/>
        <v>#DIV/0!</v>
      </c>
      <c r="M207" s="147">
        <f t="shared" si="15"/>
        <v>0</v>
      </c>
      <c r="N207" s="32">
        <f>IFERROR(M207*'0. Oppsett'!$C$30,0)</f>
        <v>0</v>
      </c>
      <c r="O207" s="33">
        <v>0</v>
      </c>
      <c r="P207" s="33"/>
      <c r="Q207" s="33"/>
      <c r="R207" s="33"/>
      <c r="S207" s="33">
        <v>0</v>
      </c>
      <c r="T207" s="34">
        <v>0</v>
      </c>
      <c r="U207" s="35">
        <f t="shared" si="16"/>
        <v>0</v>
      </c>
    </row>
    <row r="208" spans="1:21" ht="15.75" thickBot="1" x14ac:dyDescent="0.3">
      <c r="A208" s="21">
        <v>204</v>
      </c>
      <c r="B208" s="150">
        <f>'X. Satser pensjonstilskudd'!B208</f>
        <v>0</v>
      </c>
      <c r="C208" s="18">
        <f>'X. Satser pensjonstilskudd'!C208</f>
        <v>0</v>
      </c>
      <c r="D208" s="18" t="str">
        <f>IFERROR(_xlfn.XLOOKUP($C208,factPensjon[Virksomhetsnr.],factPensjon[Forpliktelser]),"")</f>
        <v/>
      </c>
      <c r="E208" s="148">
        <f>SUMIFS(BasilRadata[Heltidsplasser
0-2],BasilRadata[År],'0. Oppsett'!$C$7-1,BasilRadata[1B. Organisasjonsnummer:],$C208)</f>
        <v>0</v>
      </c>
      <c r="F208" s="25">
        <f>'4. Selvkost og satser'!$B$54</f>
        <v>288170.9461329499</v>
      </c>
      <c r="G208" s="148">
        <f>SUMIFS(BasilRadata[Heltidsplasser
3-6],BasilRadata[År],'0. Oppsett'!$C$7-1,BasilRadata[1B. Organisasjonsnummer:],$C208)</f>
        <v>0</v>
      </c>
      <c r="H208" s="25">
        <f>'4. Selvkost og satser'!$B$55</f>
        <v>156604.23359926464</v>
      </c>
      <c r="I208" s="172">
        <f t="shared" si="13"/>
        <v>0</v>
      </c>
      <c r="J208" s="176">
        <f>SUMIFS(BasilRadata[8E. Oppgi antall årsverk barnehagen har pensjonsforpliktelser for:],BasilRadata[År],'0. Oppsett'!$C$7-1,BasilRadata[1B. Organisasjonsnummer:],'X. Utbetalingsmodul'!$C208)</f>
        <v>0</v>
      </c>
      <c r="K208" s="172" t="e">
        <f>_xlfn.XLOOKUP(C208,'X. Satser pensjonstilskudd'!$C$5:$C$224,'X. Satser pensjonstilskudd'!$I$5:$I$224)</f>
        <v>#DIV/0!</v>
      </c>
      <c r="L208" s="173" t="e">
        <f t="shared" si="14"/>
        <v>#DIV/0!</v>
      </c>
      <c r="M208" s="147">
        <f t="shared" si="15"/>
        <v>0</v>
      </c>
      <c r="N208" s="32">
        <f>IFERROR(M208*'0. Oppsett'!$C$30,0)</f>
        <v>0</v>
      </c>
      <c r="O208" s="33">
        <v>0</v>
      </c>
      <c r="P208" s="33"/>
      <c r="Q208" s="33"/>
      <c r="R208" s="33"/>
      <c r="S208" s="33">
        <v>0</v>
      </c>
      <c r="T208" s="34">
        <v>0</v>
      </c>
      <c r="U208" s="35">
        <f t="shared" si="16"/>
        <v>0</v>
      </c>
    </row>
    <row r="209" spans="1:21" ht="15.75" thickBot="1" x14ac:dyDescent="0.3">
      <c r="A209" s="17">
        <v>205</v>
      </c>
      <c r="B209" s="150">
        <f>'X. Satser pensjonstilskudd'!B209</f>
        <v>0</v>
      </c>
      <c r="C209" s="18">
        <f>'X. Satser pensjonstilskudd'!C209</f>
        <v>0</v>
      </c>
      <c r="D209" s="18" t="str">
        <f>IFERROR(_xlfn.XLOOKUP($C209,factPensjon[Virksomhetsnr.],factPensjon[Forpliktelser]),"")</f>
        <v/>
      </c>
      <c r="E209" s="148">
        <f>SUMIFS(BasilRadata[Heltidsplasser
0-2],BasilRadata[År],'0. Oppsett'!$C$7-1,BasilRadata[1B. Organisasjonsnummer:],$C209)</f>
        <v>0</v>
      </c>
      <c r="F209" s="25">
        <f>'4. Selvkost og satser'!$B$54</f>
        <v>288170.9461329499</v>
      </c>
      <c r="G209" s="148">
        <f>SUMIFS(BasilRadata[Heltidsplasser
3-6],BasilRadata[År],'0. Oppsett'!$C$7-1,BasilRadata[1B. Organisasjonsnummer:],$C209)</f>
        <v>0</v>
      </c>
      <c r="H209" s="25">
        <f>'4. Selvkost og satser'!$B$55</f>
        <v>156604.23359926464</v>
      </c>
      <c r="I209" s="172">
        <f t="shared" si="13"/>
        <v>0</v>
      </c>
      <c r="J209" s="176">
        <f>SUMIFS(BasilRadata[8E. Oppgi antall årsverk barnehagen har pensjonsforpliktelser for:],BasilRadata[År],'0. Oppsett'!$C$7-1,BasilRadata[1B. Organisasjonsnummer:],'X. Utbetalingsmodul'!$C209)</f>
        <v>0</v>
      </c>
      <c r="K209" s="172" t="e">
        <f>_xlfn.XLOOKUP(C209,'X. Satser pensjonstilskudd'!$C$5:$C$224,'X. Satser pensjonstilskudd'!$I$5:$I$224)</f>
        <v>#DIV/0!</v>
      </c>
      <c r="L209" s="173" t="e">
        <f t="shared" si="14"/>
        <v>#DIV/0!</v>
      </c>
      <c r="M209" s="147">
        <f t="shared" si="15"/>
        <v>0</v>
      </c>
      <c r="N209" s="32">
        <f>IFERROR(M209*'0. Oppsett'!$C$30,0)</f>
        <v>0</v>
      </c>
      <c r="O209" s="33">
        <v>0</v>
      </c>
      <c r="P209" s="33"/>
      <c r="Q209" s="33"/>
      <c r="R209" s="33"/>
      <c r="S209" s="33">
        <v>0</v>
      </c>
      <c r="T209" s="34">
        <v>0</v>
      </c>
      <c r="U209" s="35">
        <f t="shared" si="16"/>
        <v>0</v>
      </c>
    </row>
    <row r="210" spans="1:21" ht="15.75" thickBot="1" x14ac:dyDescent="0.3">
      <c r="A210" s="21">
        <v>206</v>
      </c>
      <c r="B210" s="150">
        <f>'X. Satser pensjonstilskudd'!B210</f>
        <v>0</v>
      </c>
      <c r="C210" s="18">
        <f>'X. Satser pensjonstilskudd'!C210</f>
        <v>0</v>
      </c>
      <c r="D210" s="18" t="str">
        <f>IFERROR(_xlfn.XLOOKUP($C210,factPensjon[Virksomhetsnr.],factPensjon[Forpliktelser]),"")</f>
        <v/>
      </c>
      <c r="E210" s="148">
        <f>SUMIFS(BasilRadata[Heltidsplasser
0-2],BasilRadata[År],'0. Oppsett'!$C$7-1,BasilRadata[1B. Organisasjonsnummer:],$C210)</f>
        <v>0</v>
      </c>
      <c r="F210" s="25">
        <f>'4. Selvkost og satser'!$B$54</f>
        <v>288170.9461329499</v>
      </c>
      <c r="G210" s="148">
        <f>SUMIFS(BasilRadata[Heltidsplasser
3-6],BasilRadata[År],'0. Oppsett'!$C$7-1,BasilRadata[1B. Organisasjonsnummer:],$C210)</f>
        <v>0</v>
      </c>
      <c r="H210" s="25">
        <f>'4. Selvkost og satser'!$B$55</f>
        <v>156604.23359926464</v>
      </c>
      <c r="I210" s="172">
        <f t="shared" si="13"/>
        <v>0</v>
      </c>
      <c r="J210" s="176">
        <f>SUMIFS(BasilRadata[8E. Oppgi antall årsverk barnehagen har pensjonsforpliktelser for:],BasilRadata[År],'0. Oppsett'!$C$7-1,BasilRadata[1B. Organisasjonsnummer:],'X. Utbetalingsmodul'!$C210)</f>
        <v>0</v>
      </c>
      <c r="K210" s="172" t="e">
        <f>_xlfn.XLOOKUP(C210,'X. Satser pensjonstilskudd'!$C$5:$C$224,'X. Satser pensjonstilskudd'!$I$5:$I$224)</f>
        <v>#DIV/0!</v>
      </c>
      <c r="L210" s="173" t="e">
        <f t="shared" si="14"/>
        <v>#DIV/0!</v>
      </c>
      <c r="M210" s="147">
        <f t="shared" si="15"/>
        <v>0</v>
      </c>
      <c r="N210" s="32">
        <f>IFERROR(M210*'0. Oppsett'!$C$30,0)</f>
        <v>0</v>
      </c>
      <c r="O210" s="33">
        <v>0</v>
      </c>
      <c r="P210" s="33"/>
      <c r="Q210" s="33"/>
      <c r="R210" s="33"/>
      <c r="S210" s="33">
        <v>0</v>
      </c>
      <c r="T210" s="34">
        <v>0</v>
      </c>
      <c r="U210" s="35">
        <f t="shared" si="16"/>
        <v>0</v>
      </c>
    </row>
    <row r="211" spans="1:21" ht="15.75" thickBot="1" x14ac:dyDescent="0.3">
      <c r="A211" s="17">
        <v>207</v>
      </c>
      <c r="B211" s="150">
        <f>'X. Satser pensjonstilskudd'!B211</f>
        <v>0</v>
      </c>
      <c r="C211" s="18">
        <f>'X. Satser pensjonstilskudd'!C211</f>
        <v>0</v>
      </c>
      <c r="D211" s="18" t="str">
        <f>IFERROR(_xlfn.XLOOKUP($C211,factPensjon[Virksomhetsnr.],factPensjon[Forpliktelser]),"")</f>
        <v/>
      </c>
      <c r="E211" s="148">
        <f>SUMIFS(BasilRadata[Heltidsplasser
0-2],BasilRadata[År],'0. Oppsett'!$C$7-1,BasilRadata[1B. Organisasjonsnummer:],$C211)</f>
        <v>0</v>
      </c>
      <c r="F211" s="25">
        <f>'4. Selvkost og satser'!$B$54</f>
        <v>288170.9461329499</v>
      </c>
      <c r="G211" s="148">
        <f>SUMIFS(BasilRadata[Heltidsplasser
3-6],BasilRadata[År],'0. Oppsett'!$C$7-1,BasilRadata[1B. Organisasjonsnummer:],$C211)</f>
        <v>0</v>
      </c>
      <c r="H211" s="25">
        <f>'4. Selvkost og satser'!$B$55</f>
        <v>156604.23359926464</v>
      </c>
      <c r="I211" s="172">
        <f t="shared" si="13"/>
        <v>0</v>
      </c>
      <c r="J211" s="176">
        <f>SUMIFS(BasilRadata[8E. Oppgi antall årsverk barnehagen har pensjonsforpliktelser for:],BasilRadata[År],'0. Oppsett'!$C$7-1,BasilRadata[1B. Organisasjonsnummer:],'X. Utbetalingsmodul'!$C211)</f>
        <v>0</v>
      </c>
      <c r="K211" s="172" t="e">
        <f>_xlfn.XLOOKUP(C211,'X. Satser pensjonstilskudd'!$C$5:$C$224,'X. Satser pensjonstilskudd'!$I$5:$I$224)</f>
        <v>#DIV/0!</v>
      </c>
      <c r="L211" s="173" t="e">
        <f t="shared" si="14"/>
        <v>#DIV/0!</v>
      </c>
      <c r="M211" s="147">
        <f t="shared" si="15"/>
        <v>0</v>
      </c>
      <c r="N211" s="32">
        <f>IFERROR(M211*'0. Oppsett'!$C$30,0)</f>
        <v>0</v>
      </c>
      <c r="O211" s="33">
        <v>0</v>
      </c>
      <c r="P211" s="33"/>
      <c r="Q211" s="33"/>
      <c r="R211" s="33"/>
      <c r="S211" s="33">
        <v>0</v>
      </c>
      <c r="T211" s="34">
        <v>0</v>
      </c>
      <c r="U211" s="35">
        <f t="shared" si="16"/>
        <v>0</v>
      </c>
    </row>
    <row r="212" spans="1:21" ht="15.75" thickBot="1" x14ac:dyDescent="0.3">
      <c r="A212" s="21">
        <v>208</v>
      </c>
      <c r="B212" s="150">
        <f>'X. Satser pensjonstilskudd'!B212</f>
        <v>0</v>
      </c>
      <c r="C212" s="18">
        <f>'X. Satser pensjonstilskudd'!C212</f>
        <v>0</v>
      </c>
      <c r="D212" s="18" t="str">
        <f>IFERROR(_xlfn.XLOOKUP($C212,factPensjon[Virksomhetsnr.],factPensjon[Forpliktelser]),"")</f>
        <v/>
      </c>
      <c r="E212" s="148">
        <f>SUMIFS(BasilRadata[Heltidsplasser
0-2],BasilRadata[År],'0. Oppsett'!$C$7-1,BasilRadata[1B. Organisasjonsnummer:],$C212)</f>
        <v>0</v>
      </c>
      <c r="F212" s="25">
        <f>'4. Selvkost og satser'!$B$54</f>
        <v>288170.9461329499</v>
      </c>
      <c r="G212" s="148">
        <f>SUMIFS(BasilRadata[Heltidsplasser
3-6],BasilRadata[År],'0. Oppsett'!$C$7-1,BasilRadata[1B. Organisasjonsnummer:],$C212)</f>
        <v>0</v>
      </c>
      <c r="H212" s="25">
        <f>'4. Selvkost og satser'!$B$55</f>
        <v>156604.23359926464</v>
      </c>
      <c r="I212" s="172">
        <f t="shared" si="13"/>
        <v>0</v>
      </c>
      <c r="J212" s="176">
        <f>SUMIFS(BasilRadata[8E. Oppgi antall årsverk barnehagen har pensjonsforpliktelser for:],BasilRadata[År],'0. Oppsett'!$C$7-1,BasilRadata[1B. Organisasjonsnummer:],'X. Utbetalingsmodul'!$C212)</f>
        <v>0</v>
      </c>
      <c r="K212" s="172" t="e">
        <f>_xlfn.XLOOKUP(C212,'X. Satser pensjonstilskudd'!$C$5:$C$224,'X. Satser pensjonstilskudd'!$I$5:$I$224)</f>
        <v>#DIV/0!</v>
      </c>
      <c r="L212" s="173" t="e">
        <f t="shared" si="14"/>
        <v>#DIV/0!</v>
      </c>
      <c r="M212" s="147">
        <f t="shared" si="15"/>
        <v>0</v>
      </c>
      <c r="N212" s="32">
        <f>IFERROR(M212*'0. Oppsett'!$C$30,0)</f>
        <v>0</v>
      </c>
      <c r="O212" s="33">
        <v>0</v>
      </c>
      <c r="P212" s="33"/>
      <c r="Q212" s="33"/>
      <c r="R212" s="33"/>
      <c r="S212" s="33">
        <v>0</v>
      </c>
      <c r="T212" s="34">
        <v>0</v>
      </c>
      <c r="U212" s="35">
        <f t="shared" si="16"/>
        <v>0</v>
      </c>
    </row>
    <row r="213" spans="1:21" ht="15.75" thickBot="1" x14ac:dyDescent="0.3">
      <c r="A213" s="17">
        <v>209</v>
      </c>
      <c r="B213" s="150">
        <f>'X. Satser pensjonstilskudd'!B213</f>
        <v>0</v>
      </c>
      <c r="C213" s="18">
        <f>'X. Satser pensjonstilskudd'!C213</f>
        <v>0</v>
      </c>
      <c r="D213" s="18" t="str">
        <f>IFERROR(_xlfn.XLOOKUP($C213,factPensjon[Virksomhetsnr.],factPensjon[Forpliktelser]),"")</f>
        <v/>
      </c>
      <c r="E213" s="148">
        <f>SUMIFS(BasilRadata[Heltidsplasser
0-2],BasilRadata[År],'0. Oppsett'!$C$7-1,BasilRadata[1B. Organisasjonsnummer:],$C213)</f>
        <v>0</v>
      </c>
      <c r="F213" s="25">
        <f>'4. Selvkost og satser'!$B$54</f>
        <v>288170.9461329499</v>
      </c>
      <c r="G213" s="148">
        <f>SUMIFS(BasilRadata[Heltidsplasser
3-6],BasilRadata[År],'0. Oppsett'!$C$7-1,BasilRadata[1B. Organisasjonsnummer:],$C213)</f>
        <v>0</v>
      </c>
      <c r="H213" s="25">
        <f>'4. Selvkost og satser'!$B$55</f>
        <v>156604.23359926464</v>
      </c>
      <c r="I213" s="172">
        <f t="shared" si="13"/>
        <v>0</v>
      </c>
      <c r="J213" s="176">
        <f>SUMIFS(BasilRadata[8E. Oppgi antall årsverk barnehagen har pensjonsforpliktelser for:],BasilRadata[År],'0. Oppsett'!$C$7-1,BasilRadata[1B. Organisasjonsnummer:],'X. Utbetalingsmodul'!$C213)</f>
        <v>0</v>
      </c>
      <c r="K213" s="172" t="e">
        <f>_xlfn.XLOOKUP(C213,'X. Satser pensjonstilskudd'!$C$5:$C$224,'X. Satser pensjonstilskudd'!$I$5:$I$224)</f>
        <v>#DIV/0!</v>
      </c>
      <c r="L213" s="173" t="e">
        <f t="shared" si="14"/>
        <v>#DIV/0!</v>
      </c>
      <c r="M213" s="147">
        <f t="shared" si="15"/>
        <v>0</v>
      </c>
      <c r="N213" s="32">
        <f>IFERROR(M213*'0. Oppsett'!$C$30,0)</f>
        <v>0</v>
      </c>
      <c r="O213" s="33">
        <v>0</v>
      </c>
      <c r="P213" s="33"/>
      <c r="Q213" s="33"/>
      <c r="R213" s="33"/>
      <c r="S213" s="33">
        <v>0</v>
      </c>
      <c r="T213" s="34">
        <v>0</v>
      </c>
      <c r="U213" s="35">
        <f t="shared" si="16"/>
        <v>0</v>
      </c>
    </row>
    <row r="214" spans="1:21" ht="15.75" thickBot="1" x14ac:dyDescent="0.3">
      <c r="A214" s="21">
        <v>210</v>
      </c>
      <c r="B214" s="150">
        <f>'X. Satser pensjonstilskudd'!B214</f>
        <v>0</v>
      </c>
      <c r="C214" s="18">
        <f>'X. Satser pensjonstilskudd'!C214</f>
        <v>0</v>
      </c>
      <c r="D214" s="18" t="str">
        <f>IFERROR(_xlfn.XLOOKUP($C214,factPensjon[Virksomhetsnr.],factPensjon[Forpliktelser]),"")</f>
        <v/>
      </c>
      <c r="E214" s="148">
        <f>SUMIFS(BasilRadata[Heltidsplasser
0-2],BasilRadata[År],'0. Oppsett'!$C$7-1,BasilRadata[1B. Organisasjonsnummer:],$C214)</f>
        <v>0</v>
      </c>
      <c r="F214" s="25">
        <f>'4. Selvkost og satser'!$B$54</f>
        <v>288170.9461329499</v>
      </c>
      <c r="G214" s="148">
        <f>SUMIFS(BasilRadata[Heltidsplasser
3-6],BasilRadata[År],'0. Oppsett'!$C$7-1,BasilRadata[1B. Organisasjonsnummer:],$C214)</f>
        <v>0</v>
      </c>
      <c r="H214" s="25">
        <f>'4. Selvkost og satser'!$B$55</f>
        <v>156604.23359926464</v>
      </c>
      <c r="I214" s="172">
        <f t="shared" si="13"/>
        <v>0</v>
      </c>
      <c r="J214" s="176">
        <f>SUMIFS(BasilRadata[8E. Oppgi antall årsverk barnehagen har pensjonsforpliktelser for:],BasilRadata[År],'0. Oppsett'!$C$7-1,BasilRadata[1B. Organisasjonsnummer:],'X. Utbetalingsmodul'!$C214)</f>
        <v>0</v>
      </c>
      <c r="K214" s="172" t="e">
        <f>_xlfn.XLOOKUP(C214,'X. Satser pensjonstilskudd'!$C$5:$C$224,'X. Satser pensjonstilskudd'!$I$5:$I$224)</f>
        <v>#DIV/0!</v>
      </c>
      <c r="L214" s="173" t="e">
        <f t="shared" si="14"/>
        <v>#DIV/0!</v>
      </c>
      <c r="M214" s="147">
        <f t="shared" si="15"/>
        <v>0</v>
      </c>
      <c r="N214" s="32">
        <f>IFERROR(M214*'0. Oppsett'!$C$30,0)</f>
        <v>0</v>
      </c>
      <c r="O214" s="33">
        <v>0</v>
      </c>
      <c r="P214" s="33"/>
      <c r="Q214" s="33"/>
      <c r="R214" s="33"/>
      <c r="S214" s="33">
        <v>0</v>
      </c>
      <c r="T214" s="34">
        <v>0</v>
      </c>
      <c r="U214" s="35">
        <f t="shared" si="16"/>
        <v>0</v>
      </c>
    </row>
    <row r="215" spans="1:21" ht="15.75" thickBot="1" x14ac:dyDescent="0.3">
      <c r="A215" s="17">
        <v>211</v>
      </c>
      <c r="B215" s="150">
        <f>'X. Satser pensjonstilskudd'!B215</f>
        <v>0</v>
      </c>
      <c r="C215" s="18">
        <f>'X. Satser pensjonstilskudd'!C215</f>
        <v>0</v>
      </c>
      <c r="D215" s="18" t="str">
        <f>IFERROR(_xlfn.XLOOKUP($C215,factPensjon[Virksomhetsnr.],factPensjon[Forpliktelser]),"")</f>
        <v/>
      </c>
      <c r="E215" s="148">
        <f>SUMIFS(BasilRadata[Heltidsplasser
0-2],BasilRadata[År],'0. Oppsett'!$C$7-1,BasilRadata[1B. Organisasjonsnummer:],$C215)</f>
        <v>0</v>
      </c>
      <c r="F215" s="25">
        <f>'4. Selvkost og satser'!$B$54</f>
        <v>288170.9461329499</v>
      </c>
      <c r="G215" s="148">
        <f>SUMIFS(BasilRadata[Heltidsplasser
3-6],BasilRadata[År],'0. Oppsett'!$C$7-1,BasilRadata[1B. Organisasjonsnummer:],$C215)</f>
        <v>0</v>
      </c>
      <c r="H215" s="25">
        <f>'4. Selvkost og satser'!$B$55</f>
        <v>156604.23359926464</v>
      </c>
      <c r="I215" s="172">
        <f t="shared" si="13"/>
        <v>0</v>
      </c>
      <c r="J215" s="176">
        <f>SUMIFS(BasilRadata[8E. Oppgi antall årsverk barnehagen har pensjonsforpliktelser for:],BasilRadata[År],'0. Oppsett'!$C$7-1,BasilRadata[1B. Organisasjonsnummer:],'X. Utbetalingsmodul'!$C215)</f>
        <v>0</v>
      </c>
      <c r="K215" s="172" t="e">
        <f>_xlfn.XLOOKUP(C215,'X. Satser pensjonstilskudd'!$C$5:$C$224,'X. Satser pensjonstilskudd'!$I$5:$I$224)</f>
        <v>#DIV/0!</v>
      </c>
      <c r="L215" s="173" t="e">
        <f t="shared" si="14"/>
        <v>#DIV/0!</v>
      </c>
      <c r="M215" s="147">
        <f t="shared" si="15"/>
        <v>0</v>
      </c>
      <c r="N215" s="32">
        <f>IFERROR(M215*'0. Oppsett'!$C$30,0)</f>
        <v>0</v>
      </c>
      <c r="O215" s="33">
        <v>0</v>
      </c>
      <c r="P215" s="33"/>
      <c r="Q215" s="33"/>
      <c r="R215" s="33"/>
      <c r="S215" s="33">
        <v>0</v>
      </c>
      <c r="T215" s="34">
        <v>0</v>
      </c>
      <c r="U215" s="35">
        <f t="shared" si="16"/>
        <v>0</v>
      </c>
    </row>
    <row r="216" spans="1:21" ht="15.75" thickBot="1" x14ac:dyDescent="0.3">
      <c r="A216" s="21">
        <v>212</v>
      </c>
      <c r="B216" s="150">
        <f>'X. Satser pensjonstilskudd'!B216</f>
        <v>0</v>
      </c>
      <c r="C216" s="18">
        <f>'X. Satser pensjonstilskudd'!C216</f>
        <v>0</v>
      </c>
      <c r="D216" s="18" t="str">
        <f>IFERROR(_xlfn.XLOOKUP($C216,factPensjon[Virksomhetsnr.],factPensjon[Forpliktelser]),"")</f>
        <v/>
      </c>
      <c r="E216" s="148">
        <f>SUMIFS(BasilRadata[Heltidsplasser
0-2],BasilRadata[År],'0. Oppsett'!$C$7-1,BasilRadata[1B. Organisasjonsnummer:],$C216)</f>
        <v>0</v>
      </c>
      <c r="F216" s="25">
        <f>'4. Selvkost og satser'!$B$54</f>
        <v>288170.9461329499</v>
      </c>
      <c r="G216" s="148">
        <f>SUMIFS(BasilRadata[Heltidsplasser
3-6],BasilRadata[År],'0. Oppsett'!$C$7-1,BasilRadata[1B. Organisasjonsnummer:],$C216)</f>
        <v>0</v>
      </c>
      <c r="H216" s="25">
        <f>'4. Selvkost og satser'!$B$55</f>
        <v>156604.23359926464</v>
      </c>
      <c r="I216" s="172">
        <f t="shared" si="13"/>
        <v>0</v>
      </c>
      <c r="J216" s="176">
        <f>SUMIFS(BasilRadata[8E. Oppgi antall årsverk barnehagen har pensjonsforpliktelser for:],BasilRadata[År],'0. Oppsett'!$C$7-1,BasilRadata[1B. Organisasjonsnummer:],'X. Utbetalingsmodul'!$C216)</f>
        <v>0</v>
      </c>
      <c r="K216" s="172" t="e">
        <f>_xlfn.XLOOKUP(C216,'X. Satser pensjonstilskudd'!$C$5:$C$224,'X. Satser pensjonstilskudd'!$I$5:$I$224)</f>
        <v>#DIV/0!</v>
      </c>
      <c r="L216" s="173" t="e">
        <f t="shared" si="14"/>
        <v>#DIV/0!</v>
      </c>
      <c r="M216" s="147">
        <f t="shared" si="15"/>
        <v>0</v>
      </c>
      <c r="N216" s="32">
        <f>IFERROR(M216*'0. Oppsett'!$C$30,0)</f>
        <v>0</v>
      </c>
      <c r="O216" s="33">
        <v>0</v>
      </c>
      <c r="P216" s="33"/>
      <c r="Q216" s="33"/>
      <c r="R216" s="33"/>
      <c r="S216" s="33">
        <v>0</v>
      </c>
      <c r="T216" s="34">
        <v>0</v>
      </c>
      <c r="U216" s="35">
        <f t="shared" si="16"/>
        <v>0</v>
      </c>
    </row>
    <row r="217" spans="1:21" ht="15.75" thickBot="1" x14ac:dyDescent="0.3">
      <c r="A217" s="17">
        <v>213</v>
      </c>
      <c r="B217" s="150">
        <f>'X. Satser pensjonstilskudd'!B217</f>
        <v>0</v>
      </c>
      <c r="C217" s="18">
        <f>'X. Satser pensjonstilskudd'!C217</f>
        <v>0</v>
      </c>
      <c r="D217" s="18" t="str">
        <f>IFERROR(_xlfn.XLOOKUP($C217,factPensjon[Virksomhetsnr.],factPensjon[Forpliktelser]),"")</f>
        <v/>
      </c>
      <c r="E217" s="148">
        <f>SUMIFS(BasilRadata[Heltidsplasser
0-2],BasilRadata[År],'0. Oppsett'!$C$7-1,BasilRadata[1B. Organisasjonsnummer:],$C217)</f>
        <v>0</v>
      </c>
      <c r="F217" s="25">
        <f>'4. Selvkost og satser'!$B$54</f>
        <v>288170.9461329499</v>
      </c>
      <c r="G217" s="148">
        <f>SUMIFS(BasilRadata[Heltidsplasser
3-6],BasilRadata[År],'0. Oppsett'!$C$7-1,BasilRadata[1B. Organisasjonsnummer:],$C217)</f>
        <v>0</v>
      </c>
      <c r="H217" s="25">
        <f>'4. Selvkost og satser'!$B$55</f>
        <v>156604.23359926464</v>
      </c>
      <c r="I217" s="172">
        <f t="shared" si="13"/>
        <v>0</v>
      </c>
      <c r="J217" s="176">
        <f>SUMIFS(BasilRadata[8E. Oppgi antall årsverk barnehagen har pensjonsforpliktelser for:],BasilRadata[År],'0. Oppsett'!$C$7-1,BasilRadata[1B. Organisasjonsnummer:],'X. Utbetalingsmodul'!$C217)</f>
        <v>0</v>
      </c>
      <c r="K217" s="172" t="e">
        <f>_xlfn.XLOOKUP(C217,'X. Satser pensjonstilskudd'!$C$5:$C$224,'X. Satser pensjonstilskudd'!$I$5:$I$224)</f>
        <v>#DIV/0!</v>
      </c>
      <c r="L217" s="173" t="e">
        <f t="shared" si="14"/>
        <v>#DIV/0!</v>
      </c>
      <c r="M217" s="147">
        <f t="shared" si="15"/>
        <v>0</v>
      </c>
      <c r="N217" s="32">
        <f>IFERROR(M217*'0. Oppsett'!$C$30,0)</f>
        <v>0</v>
      </c>
      <c r="O217" s="33">
        <v>0</v>
      </c>
      <c r="P217" s="33"/>
      <c r="Q217" s="33"/>
      <c r="R217" s="33"/>
      <c r="S217" s="33">
        <v>0</v>
      </c>
      <c r="T217" s="34">
        <v>0</v>
      </c>
      <c r="U217" s="35">
        <f t="shared" si="16"/>
        <v>0</v>
      </c>
    </row>
    <row r="218" spans="1:21" ht="15.75" thickBot="1" x14ac:dyDescent="0.3">
      <c r="A218" s="21">
        <v>214</v>
      </c>
      <c r="B218" s="150">
        <f>'X. Satser pensjonstilskudd'!B218</f>
        <v>0</v>
      </c>
      <c r="C218" s="18">
        <f>'X. Satser pensjonstilskudd'!C218</f>
        <v>0</v>
      </c>
      <c r="D218" s="18" t="str">
        <f>IFERROR(_xlfn.XLOOKUP($C218,factPensjon[Virksomhetsnr.],factPensjon[Forpliktelser]),"")</f>
        <v/>
      </c>
      <c r="E218" s="148">
        <f>SUMIFS(BasilRadata[Heltidsplasser
0-2],BasilRadata[År],'0. Oppsett'!$C$7-1,BasilRadata[1B. Organisasjonsnummer:],$C218)</f>
        <v>0</v>
      </c>
      <c r="F218" s="25">
        <f>'4. Selvkost og satser'!$B$54</f>
        <v>288170.9461329499</v>
      </c>
      <c r="G218" s="148">
        <f>SUMIFS(BasilRadata[Heltidsplasser
3-6],BasilRadata[År],'0. Oppsett'!$C$7-1,BasilRadata[1B. Organisasjonsnummer:],$C218)</f>
        <v>0</v>
      </c>
      <c r="H218" s="25">
        <f>'4. Selvkost og satser'!$B$55</f>
        <v>156604.23359926464</v>
      </c>
      <c r="I218" s="172">
        <f t="shared" si="13"/>
        <v>0</v>
      </c>
      <c r="J218" s="176">
        <f>SUMIFS(BasilRadata[8E. Oppgi antall årsverk barnehagen har pensjonsforpliktelser for:],BasilRadata[År],'0. Oppsett'!$C$7-1,BasilRadata[1B. Organisasjonsnummer:],'X. Utbetalingsmodul'!$C218)</f>
        <v>0</v>
      </c>
      <c r="K218" s="172" t="e">
        <f>_xlfn.XLOOKUP(C218,'X. Satser pensjonstilskudd'!$C$5:$C$224,'X. Satser pensjonstilskudd'!$I$5:$I$224)</f>
        <v>#DIV/0!</v>
      </c>
      <c r="L218" s="173" t="e">
        <f t="shared" si="14"/>
        <v>#DIV/0!</v>
      </c>
      <c r="M218" s="147">
        <f t="shared" si="15"/>
        <v>0</v>
      </c>
      <c r="N218" s="32">
        <f>IFERROR(M218*'0. Oppsett'!$C$30,0)</f>
        <v>0</v>
      </c>
      <c r="O218" s="33">
        <v>0</v>
      </c>
      <c r="P218" s="33"/>
      <c r="Q218" s="33"/>
      <c r="R218" s="33"/>
      <c r="S218" s="33">
        <v>0</v>
      </c>
      <c r="T218" s="34">
        <v>0</v>
      </c>
      <c r="U218" s="35">
        <f t="shared" si="16"/>
        <v>0</v>
      </c>
    </row>
    <row r="219" spans="1:21" ht="15.75" thickBot="1" x14ac:dyDescent="0.3">
      <c r="A219" s="17">
        <v>215</v>
      </c>
      <c r="B219" s="150">
        <f>'X. Satser pensjonstilskudd'!B219</f>
        <v>0</v>
      </c>
      <c r="C219" s="18">
        <f>'X. Satser pensjonstilskudd'!C219</f>
        <v>0</v>
      </c>
      <c r="D219" s="18" t="str">
        <f>IFERROR(_xlfn.XLOOKUP($C219,factPensjon[Virksomhetsnr.],factPensjon[Forpliktelser]),"")</f>
        <v/>
      </c>
      <c r="E219" s="148">
        <f>SUMIFS(BasilRadata[Heltidsplasser
0-2],BasilRadata[År],'0. Oppsett'!$C$7-1,BasilRadata[1B. Organisasjonsnummer:],$C219)</f>
        <v>0</v>
      </c>
      <c r="F219" s="25">
        <f>'4. Selvkost og satser'!$B$54</f>
        <v>288170.9461329499</v>
      </c>
      <c r="G219" s="148">
        <f>SUMIFS(BasilRadata[Heltidsplasser
3-6],BasilRadata[År],'0. Oppsett'!$C$7-1,BasilRadata[1B. Organisasjonsnummer:],$C219)</f>
        <v>0</v>
      </c>
      <c r="H219" s="25">
        <f>'4. Selvkost og satser'!$B$55</f>
        <v>156604.23359926464</v>
      </c>
      <c r="I219" s="172">
        <f t="shared" si="13"/>
        <v>0</v>
      </c>
      <c r="J219" s="176">
        <f>SUMIFS(BasilRadata[8E. Oppgi antall årsverk barnehagen har pensjonsforpliktelser for:],BasilRadata[År],'0. Oppsett'!$C$7-1,BasilRadata[1B. Organisasjonsnummer:],'X. Utbetalingsmodul'!$C219)</f>
        <v>0</v>
      </c>
      <c r="K219" s="172" t="e">
        <f>_xlfn.XLOOKUP(C219,'X. Satser pensjonstilskudd'!$C$5:$C$224,'X. Satser pensjonstilskudd'!$I$5:$I$224)</f>
        <v>#DIV/0!</v>
      </c>
      <c r="L219" s="173" t="e">
        <f t="shared" si="14"/>
        <v>#DIV/0!</v>
      </c>
      <c r="M219" s="147">
        <f t="shared" si="15"/>
        <v>0</v>
      </c>
      <c r="N219" s="32">
        <f>IFERROR(M219*'0. Oppsett'!$C$30,0)</f>
        <v>0</v>
      </c>
      <c r="O219" s="33">
        <v>0</v>
      </c>
      <c r="P219" s="33"/>
      <c r="Q219" s="33"/>
      <c r="R219" s="33"/>
      <c r="S219" s="33">
        <v>0</v>
      </c>
      <c r="T219" s="34">
        <v>0</v>
      </c>
      <c r="U219" s="35">
        <f t="shared" si="16"/>
        <v>0</v>
      </c>
    </row>
    <row r="220" spans="1:21" ht="15.75" thickBot="1" x14ac:dyDescent="0.3">
      <c r="A220" s="21">
        <v>216</v>
      </c>
      <c r="B220" s="150">
        <f>'X. Satser pensjonstilskudd'!B220</f>
        <v>0</v>
      </c>
      <c r="C220" s="18">
        <f>'X. Satser pensjonstilskudd'!C220</f>
        <v>0</v>
      </c>
      <c r="D220" s="18" t="str">
        <f>IFERROR(_xlfn.XLOOKUP($C220,factPensjon[Virksomhetsnr.],factPensjon[Forpliktelser]),"")</f>
        <v/>
      </c>
      <c r="E220" s="148">
        <f>SUMIFS(BasilRadata[Heltidsplasser
0-2],BasilRadata[År],'0. Oppsett'!$C$7-1,BasilRadata[1B. Organisasjonsnummer:],$C220)</f>
        <v>0</v>
      </c>
      <c r="F220" s="25">
        <f>'4. Selvkost og satser'!$B$54</f>
        <v>288170.9461329499</v>
      </c>
      <c r="G220" s="148">
        <f>SUMIFS(BasilRadata[Heltidsplasser
3-6],BasilRadata[År],'0. Oppsett'!$C$7-1,BasilRadata[1B. Organisasjonsnummer:],$C220)</f>
        <v>0</v>
      </c>
      <c r="H220" s="25">
        <f>'4. Selvkost og satser'!$B$55</f>
        <v>156604.23359926464</v>
      </c>
      <c r="I220" s="172">
        <f t="shared" si="13"/>
        <v>0</v>
      </c>
      <c r="J220" s="176">
        <f>SUMIFS(BasilRadata[8E. Oppgi antall årsverk barnehagen har pensjonsforpliktelser for:],BasilRadata[År],'0. Oppsett'!$C$7-1,BasilRadata[1B. Organisasjonsnummer:],'X. Utbetalingsmodul'!$C220)</f>
        <v>0</v>
      </c>
      <c r="K220" s="172" t="e">
        <f>_xlfn.XLOOKUP(C220,'X. Satser pensjonstilskudd'!$C$5:$C$224,'X. Satser pensjonstilskudd'!$I$5:$I$224)</f>
        <v>#DIV/0!</v>
      </c>
      <c r="L220" s="173" t="e">
        <f t="shared" si="14"/>
        <v>#DIV/0!</v>
      </c>
      <c r="M220" s="147">
        <f t="shared" si="15"/>
        <v>0</v>
      </c>
      <c r="N220" s="32">
        <f>IFERROR(M220*'0. Oppsett'!$C$30,0)</f>
        <v>0</v>
      </c>
      <c r="O220" s="33">
        <v>0</v>
      </c>
      <c r="P220" s="33"/>
      <c r="Q220" s="33"/>
      <c r="R220" s="33"/>
      <c r="S220" s="33">
        <v>0</v>
      </c>
      <c r="T220" s="34">
        <v>0</v>
      </c>
      <c r="U220" s="35">
        <f t="shared" si="16"/>
        <v>0</v>
      </c>
    </row>
    <row r="221" spans="1:21" ht="15.75" thickBot="1" x14ac:dyDescent="0.3">
      <c r="A221" s="17">
        <v>217</v>
      </c>
      <c r="B221" s="150">
        <f>'X. Satser pensjonstilskudd'!B221</f>
        <v>0</v>
      </c>
      <c r="C221" s="18">
        <f>'X. Satser pensjonstilskudd'!C221</f>
        <v>0</v>
      </c>
      <c r="D221" s="18" t="str">
        <f>IFERROR(_xlfn.XLOOKUP($C221,factPensjon[Virksomhetsnr.],factPensjon[Forpliktelser]),"")</f>
        <v/>
      </c>
      <c r="E221" s="148">
        <f>SUMIFS(BasilRadata[Heltidsplasser
0-2],BasilRadata[År],'0. Oppsett'!$C$7-1,BasilRadata[1B. Organisasjonsnummer:],$C221)</f>
        <v>0</v>
      </c>
      <c r="F221" s="25">
        <f>'4. Selvkost og satser'!$B$54</f>
        <v>288170.9461329499</v>
      </c>
      <c r="G221" s="148">
        <f>SUMIFS(BasilRadata[Heltidsplasser
3-6],BasilRadata[År],'0. Oppsett'!$C$7-1,BasilRadata[1B. Organisasjonsnummer:],$C221)</f>
        <v>0</v>
      </c>
      <c r="H221" s="25">
        <f>'4. Selvkost og satser'!$B$55</f>
        <v>156604.23359926464</v>
      </c>
      <c r="I221" s="172">
        <f t="shared" si="13"/>
        <v>0</v>
      </c>
      <c r="J221" s="176">
        <f>SUMIFS(BasilRadata[8E. Oppgi antall årsverk barnehagen har pensjonsforpliktelser for:],BasilRadata[År],'0. Oppsett'!$C$7-1,BasilRadata[1B. Organisasjonsnummer:],'X. Utbetalingsmodul'!$C221)</f>
        <v>0</v>
      </c>
      <c r="K221" s="172" t="e">
        <f>_xlfn.XLOOKUP(C221,'X. Satser pensjonstilskudd'!$C$5:$C$224,'X. Satser pensjonstilskudd'!$I$5:$I$224)</f>
        <v>#DIV/0!</v>
      </c>
      <c r="L221" s="173" t="e">
        <f t="shared" si="14"/>
        <v>#DIV/0!</v>
      </c>
      <c r="M221" s="147">
        <f t="shared" si="15"/>
        <v>0</v>
      </c>
      <c r="N221" s="32">
        <f>IFERROR(M221*'0. Oppsett'!$C$30,0)</f>
        <v>0</v>
      </c>
      <c r="O221" s="33">
        <v>0</v>
      </c>
      <c r="P221" s="33"/>
      <c r="Q221" s="33"/>
      <c r="R221" s="33"/>
      <c r="S221" s="33">
        <v>0</v>
      </c>
      <c r="T221" s="34">
        <v>0</v>
      </c>
      <c r="U221" s="35">
        <f t="shared" si="16"/>
        <v>0</v>
      </c>
    </row>
    <row r="222" spans="1:21" ht="15.75" thickBot="1" x14ac:dyDescent="0.3">
      <c r="A222" s="21">
        <v>218</v>
      </c>
      <c r="B222" s="150">
        <f>'X. Satser pensjonstilskudd'!B222</f>
        <v>0</v>
      </c>
      <c r="C222" s="18">
        <f>'X. Satser pensjonstilskudd'!C222</f>
        <v>0</v>
      </c>
      <c r="D222" s="18" t="str">
        <f>IFERROR(_xlfn.XLOOKUP($C222,factPensjon[Virksomhetsnr.],factPensjon[Forpliktelser]),"")</f>
        <v/>
      </c>
      <c r="E222" s="148">
        <f>SUMIFS(BasilRadata[Heltidsplasser
0-2],BasilRadata[År],'0. Oppsett'!$C$7-1,BasilRadata[1B. Organisasjonsnummer:],$C222)</f>
        <v>0</v>
      </c>
      <c r="F222" s="25">
        <f>'4. Selvkost og satser'!$B$54</f>
        <v>288170.9461329499</v>
      </c>
      <c r="G222" s="148">
        <f>SUMIFS(BasilRadata[Heltidsplasser
3-6],BasilRadata[År],'0. Oppsett'!$C$7-1,BasilRadata[1B. Organisasjonsnummer:],$C222)</f>
        <v>0</v>
      </c>
      <c r="H222" s="25">
        <f>'4. Selvkost og satser'!$B$55</f>
        <v>156604.23359926464</v>
      </c>
      <c r="I222" s="172">
        <f t="shared" si="13"/>
        <v>0</v>
      </c>
      <c r="J222" s="176">
        <f>SUMIFS(BasilRadata[8E. Oppgi antall årsverk barnehagen har pensjonsforpliktelser for:],BasilRadata[År],'0. Oppsett'!$C$7-1,BasilRadata[1B. Organisasjonsnummer:],'X. Utbetalingsmodul'!$C222)</f>
        <v>0</v>
      </c>
      <c r="K222" s="172" t="e">
        <f>_xlfn.XLOOKUP(C222,'X. Satser pensjonstilskudd'!$C$5:$C$224,'X. Satser pensjonstilskudd'!$I$5:$I$224)</f>
        <v>#DIV/0!</v>
      </c>
      <c r="L222" s="173" t="e">
        <f t="shared" si="14"/>
        <v>#DIV/0!</v>
      </c>
      <c r="M222" s="147">
        <f t="shared" si="15"/>
        <v>0</v>
      </c>
      <c r="N222" s="32">
        <f>IFERROR(M222*'0. Oppsett'!$C$30,0)</f>
        <v>0</v>
      </c>
      <c r="O222" s="33">
        <v>0</v>
      </c>
      <c r="P222" s="33"/>
      <c r="Q222" s="33"/>
      <c r="R222" s="33"/>
      <c r="S222" s="33">
        <v>0</v>
      </c>
      <c r="T222" s="34">
        <v>0</v>
      </c>
      <c r="U222" s="35">
        <f t="shared" si="16"/>
        <v>0</v>
      </c>
    </row>
    <row r="223" spans="1:21" ht="15.75" thickBot="1" x14ac:dyDescent="0.3">
      <c r="A223" s="17">
        <v>219</v>
      </c>
      <c r="B223" s="150">
        <f>'X. Satser pensjonstilskudd'!B223</f>
        <v>0</v>
      </c>
      <c r="C223" s="18">
        <f>'X. Satser pensjonstilskudd'!C223</f>
        <v>0</v>
      </c>
      <c r="D223" s="18" t="str">
        <f>IFERROR(_xlfn.XLOOKUP($C223,factPensjon[Virksomhetsnr.],factPensjon[Forpliktelser]),"")</f>
        <v/>
      </c>
      <c r="E223" s="148">
        <f>SUMIFS(BasilRadata[Heltidsplasser
0-2],BasilRadata[År],'0. Oppsett'!$C$7-1,BasilRadata[1B. Organisasjonsnummer:],$C223)</f>
        <v>0</v>
      </c>
      <c r="F223" s="25">
        <f>'4. Selvkost og satser'!$B$54</f>
        <v>288170.9461329499</v>
      </c>
      <c r="G223" s="148">
        <f>SUMIFS(BasilRadata[Heltidsplasser
3-6],BasilRadata[År],'0. Oppsett'!$C$7-1,BasilRadata[1B. Organisasjonsnummer:],$C223)</f>
        <v>0</v>
      </c>
      <c r="H223" s="25">
        <f>'4. Selvkost og satser'!$B$55</f>
        <v>156604.23359926464</v>
      </c>
      <c r="I223" s="172">
        <f t="shared" si="13"/>
        <v>0</v>
      </c>
      <c r="J223" s="176">
        <f>SUMIFS(BasilRadata[8E. Oppgi antall årsverk barnehagen har pensjonsforpliktelser for:],BasilRadata[År],'0. Oppsett'!$C$7-1,BasilRadata[1B. Organisasjonsnummer:],'X. Utbetalingsmodul'!$C223)</f>
        <v>0</v>
      </c>
      <c r="K223" s="172" t="e">
        <f>_xlfn.XLOOKUP(C223,'X. Satser pensjonstilskudd'!$C$5:$C$224,'X. Satser pensjonstilskudd'!$I$5:$I$224)</f>
        <v>#DIV/0!</v>
      </c>
      <c r="L223" s="173" t="e">
        <f t="shared" si="14"/>
        <v>#DIV/0!</v>
      </c>
      <c r="M223" s="147">
        <f t="shared" si="15"/>
        <v>0</v>
      </c>
      <c r="N223" s="32">
        <f>IFERROR(M223*'0. Oppsett'!$C$30,0)</f>
        <v>0</v>
      </c>
      <c r="O223" s="33">
        <v>0</v>
      </c>
      <c r="P223" s="33"/>
      <c r="Q223" s="33"/>
      <c r="R223" s="33"/>
      <c r="S223" s="33">
        <v>0</v>
      </c>
      <c r="T223" s="34">
        <v>0</v>
      </c>
      <c r="U223" s="35">
        <f t="shared" si="16"/>
        <v>0</v>
      </c>
    </row>
    <row r="224" spans="1:21" ht="15.75" thickBot="1" x14ac:dyDescent="0.3">
      <c r="A224" s="21">
        <v>220</v>
      </c>
      <c r="B224" s="150">
        <f>'X. Satser pensjonstilskudd'!B224</f>
        <v>0</v>
      </c>
      <c r="C224" s="18">
        <f>'X. Satser pensjonstilskudd'!C224</f>
        <v>0</v>
      </c>
      <c r="D224" s="18" t="str">
        <f>IFERROR(_xlfn.XLOOKUP($C224,factPensjon[Virksomhetsnr.],factPensjon[Forpliktelser]),"")</f>
        <v/>
      </c>
      <c r="E224" s="148">
        <f>SUMIFS(BasilRadata[Heltidsplasser
0-2],BasilRadata[År],'0. Oppsett'!$C$7-1,BasilRadata[1B. Organisasjonsnummer:],$C224)</f>
        <v>0</v>
      </c>
      <c r="F224" s="25">
        <f>'4. Selvkost og satser'!$B$54</f>
        <v>288170.9461329499</v>
      </c>
      <c r="G224" s="148">
        <f>SUMIFS(BasilRadata[Heltidsplasser
3-6],BasilRadata[År],'0. Oppsett'!$C$7-1,BasilRadata[1B. Organisasjonsnummer:],$C224)</f>
        <v>0</v>
      </c>
      <c r="H224" s="25">
        <f>'4. Selvkost og satser'!$B$55</f>
        <v>156604.23359926464</v>
      </c>
      <c r="I224" s="172">
        <f t="shared" si="13"/>
        <v>0</v>
      </c>
      <c r="J224" s="176">
        <f>SUMIFS(BasilRadata[8E. Oppgi antall årsverk barnehagen har pensjonsforpliktelser for:],BasilRadata[År],'0. Oppsett'!$C$7-1,BasilRadata[1B. Organisasjonsnummer:],'X. Utbetalingsmodul'!$C224)</f>
        <v>0</v>
      </c>
      <c r="K224" s="172" t="e">
        <f>_xlfn.XLOOKUP(C224,'X. Satser pensjonstilskudd'!$C$5:$C$224,'X. Satser pensjonstilskudd'!$I$5:$I$224)</f>
        <v>#DIV/0!</v>
      </c>
      <c r="L224" s="173" t="e">
        <f t="shared" si="14"/>
        <v>#DIV/0!</v>
      </c>
      <c r="M224" s="147">
        <f t="shared" si="15"/>
        <v>0</v>
      </c>
      <c r="N224" s="32">
        <f>IFERROR(M224*'0. Oppsett'!$C$30,0)</f>
        <v>0</v>
      </c>
      <c r="O224" s="33">
        <v>0</v>
      </c>
      <c r="P224" s="33"/>
      <c r="Q224" s="33"/>
      <c r="R224" s="33"/>
      <c r="S224" s="33">
        <v>0</v>
      </c>
      <c r="T224" s="34">
        <v>0</v>
      </c>
      <c r="U224" s="35">
        <f t="shared" si="16"/>
        <v>0</v>
      </c>
    </row>
    <row r="225" spans="1:21" ht="15.75" thickBot="1" x14ac:dyDescent="0.3">
      <c r="A225" s="228" t="s">
        <v>68</v>
      </c>
      <c r="B225" s="206"/>
      <c r="C225" s="206"/>
      <c r="E225" s="148">
        <f>SUMIFS(BasilRadata[Heltidsplasser
0-2],BasilRadata[År],'0. Oppsett'!$C$7-1,BasilRadata[1B. Organisasjonsnummer:],$C225)</f>
        <v>0</v>
      </c>
      <c r="F225" s="25">
        <f>'4. Selvkost og satser'!$B$54</f>
        <v>288170.9461329499</v>
      </c>
      <c r="G225" s="148">
        <f>SUMIFS(BasilRadata[Heltidsplasser
3-6],BasilRadata[År],'0. Oppsett'!$C$7-1,BasilRadata[1B. Organisasjonsnummer:],$C225)</f>
        <v>0</v>
      </c>
      <c r="H225" s="25">
        <f>'4. Selvkost og satser'!$B$55</f>
        <v>156604.23359926464</v>
      </c>
      <c r="I225" s="172">
        <f t="shared" si="13"/>
        <v>0</v>
      </c>
      <c r="J225" s="176">
        <f>SUMIFS(BasilRadata[8E. Oppgi antall årsverk barnehagen har pensjonsforpliktelser for:],BasilRadata[År],'0. Oppsett'!$C$7-1,BasilRadata[1B. Organisasjonsnummer:],'X. Utbetalingsmodul'!$C225)</f>
        <v>0</v>
      </c>
      <c r="K225" s="172" t="e">
        <f>_xlfn.XLOOKUP(C225,'X. Satser pensjonstilskudd'!$C$5:$C$224,'X. Satser pensjonstilskudd'!$I$5:$I$224)</f>
        <v>#DIV/0!</v>
      </c>
      <c r="L225" s="173" t="e">
        <f t="shared" si="14"/>
        <v>#DIV/0!</v>
      </c>
      <c r="M225" s="147">
        <f t="shared" si="15"/>
        <v>0</v>
      </c>
      <c r="N225" s="38">
        <f t="shared" ref="N225:U225" si="17">SUM(N5:N224)</f>
        <v>0</v>
      </c>
      <c r="O225" s="38">
        <f t="shared" si="17"/>
        <v>0</v>
      </c>
      <c r="P225" s="38"/>
      <c r="Q225" s="38"/>
      <c r="R225" s="38"/>
      <c r="S225" s="38">
        <f t="shared" si="17"/>
        <v>0</v>
      </c>
      <c r="T225" s="38">
        <f t="shared" si="17"/>
        <v>0</v>
      </c>
      <c r="U225" s="38">
        <f t="shared" si="17"/>
        <v>0</v>
      </c>
    </row>
  </sheetData>
  <mergeCells count="3">
    <mergeCell ref="A225:C225"/>
    <mergeCell ref="A3:C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"/>
  <sheetViews>
    <sheetView workbookViewId="0">
      <selection activeCell="B8" sqref="B8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60" t="s">
        <v>721</v>
      </c>
      <c r="B1" s="60" t="s">
        <v>722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73" t="s">
        <v>190</v>
      </c>
      <c r="B1" s="71" t="s">
        <v>191</v>
      </c>
      <c r="C1" t="s">
        <v>192</v>
      </c>
    </row>
    <row r="2" spans="1:3" ht="15.75" thickBot="1" x14ac:dyDescent="0.3">
      <c r="A2" s="74">
        <v>916381689</v>
      </c>
      <c r="B2" s="72" t="s">
        <v>193</v>
      </c>
      <c r="C2" t="s">
        <v>194</v>
      </c>
    </row>
    <row r="3" spans="1:3" ht="15.75" thickBot="1" x14ac:dyDescent="0.3">
      <c r="A3" s="74">
        <v>916381662</v>
      </c>
      <c r="B3" s="72" t="s">
        <v>195</v>
      </c>
      <c r="C3" t="s">
        <v>194</v>
      </c>
    </row>
    <row r="4" spans="1:3" ht="15.75" thickBot="1" x14ac:dyDescent="0.3">
      <c r="A4" s="74">
        <v>973445936</v>
      </c>
      <c r="B4" s="72" t="s">
        <v>196</v>
      </c>
      <c r="C4" t="s">
        <v>194</v>
      </c>
    </row>
    <row r="5" spans="1:3" ht="15.75" thickBot="1" x14ac:dyDescent="0.3">
      <c r="A5" s="74">
        <v>973597639</v>
      </c>
      <c r="B5" s="72" t="s">
        <v>197</v>
      </c>
      <c r="C5" t="s">
        <v>194</v>
      </c>
    </row>
    <row r="6" spans="1:3" ht="15.75" thickBot="1" x14ac:dyDescent="0.3">
      <c r="A6" s="74">
        <v>977010047</v>
      </c>
      <c r="B6" s="72" t="s">
        <v>198</v>
      </c>
      <c r="C6" t="s">
        <v>194</v>
      </c>
    </row>
    <row r="7" spans="1:3" ht="15.75" thickBot="1" x14ac:dyDescent="0.3">
      <c r="A7" s="74">
        <v>873893362</v>
      </c>
      <c r="B7" s="72" t="s">
        <v>199</v>
      </c>
      <c r="C7" t="s">
        <v>194</v>
      </c>
    </row>
    <row r="8" spans="1:3" ht="15.75" thickBot="1" x14ac:dyDescent="0.3">
      <c r="A8" s="74">
        <v>974796732</v>
      </c>
      <c r="B8" s="72" t="s">
        <v>200</v>
      </c>
      <c r="C8" t="s">
        <v>194</v>
      </c>
    </row>
    <row r="9" spans="1:3" ht="15.75" thickBot="1" x14ac:dyDescent="0.3">
      <c r="A9" s="74">
        <v>973470434</v>
      </c>
      <c r="B9" s="72" t="s">
        <v>201</v>
      </c>
      <c r="C9" t="s">
        <v>194</v>
      </c>
    </row>
    <row r="10" spans="1:3" ht="15.75" thickBot="1" x14ac:dyDescent="0.3">
      <c r="A10" s="74">
        <v>973454870</v>
      </c>
      <c r="B10" s="72" t="s">
        <v>202</v>
      </c>
      <c r="C10" t="s">
        <v>194</v>
      </c>
    </row>
    <row r="11" spans="1:3" ht="15.75" thickBot="1" x14ac:dyDescent="0.3">
      <c r="A11" s="74">
        <v>975183408</v>
      </c>
      <c r="B11" s="72" t="s">
        <v>203</v>
      </c>
      <c r="C11" t="s">
        <v>194</v>
      </c>
    </row>
    <row r="12" spans="1:3" ht="15.75" thickBot="1" x14ac:dyDescent="0.3">
      <c r="A12" s="74">
        <v>930333263</v>
      </c>
      <c r="B12" s="72" t="s">
        <v>204</v>
      </c>
      <c r="C12" t="s">
        <v>194</v>
      </c>
    </row>
    <row r="13" spans="1:3" ht="15.75" thickBot="1" x14ac:dyDescent="0.3">
      <c r="A13" s="74">
        <v>973383531</v>
      </c>
      <c r="B13" s="72" t="s">
        <v>205</v>
      </c>
      <c r="C13" t="s">
        <v>194</v>
      </c>
    </row>
    <row r="14" spans="1:3" ht="15.75" thickBot="1" x14ac:dyDescent="0.3">
      <c r="A14" s="74">
        <v>973383248</v>
      </c>
      <c r="B14" s="72" t="s">
        <v>206</v>
      </c>
      <c r="C14" t="s">
        <v>194</v>
      </c>
    </row>
    <row r="15" spans="1:3" ht="15.75" thickBot="1" x14ac:dyDescent="0.3">
      <c r="A15" s="74">
        <v>982367409</v>
      </c>
      <c r="B15" s="72" t="s">
        <v>207</v>
      </c>
      <c r="C15" t="s">
        <v>194</v>
      </c>
    </row>
    <row r="16" spans="1:3" ht="15.75" thickBot="1" x14ac:dyDescent="0.3">
      <c r="A16" s="74">
        <v>973346504</v>
      </c>
      <c r="B16" s="72" t="s">
        <v>208</v>
      </c>
      <c r="C16" t="s">
        <v>194</v>
      </c>
    </row>
    <row r="17" spans="1:3" ht="15.75" thickBot="1" x14ac:dyDescent="0.3">
      <c r="A17" s="74">
        <v>994875698</v>
      </c>
      <c r="B17" s="72" t="s">
        <v>209</v>
      </c>
      <c r="C17" t="s">
        <v>194</v>
      </c>
    </row>
    <row r="18" spans="1:3" ht="15.75" thickBot="1" x14ac:dyDescent="0.3">
      <c r="A18" s="74">
        <v>996006344</v>
      </c>
      <c r="B18" s="72" t="s">
        <v>210</v>
      </c>
      <c r="C18" t="s">
        <v>194</v>
      </c>
    </row>
    <row r="19" spans="1:3" ht="15.75" thickBot="1" x14ac:dyDescent="0.3">
      <c r="A19" s="74">
        <v>975314456</v>
      </c>
      <c r="B19" s="72" t="s">
        <v>211</v>
      </c>
      <c r="C19" t="s">
        <v>194</v>
      </c>
    </row>
    <row r="20" spans="1:3" ht="15.75" thickBot="1" x14ac:dyDescent="0.3">
      <c r="A20" s="74">
        <v>973782975</v>
      </c>
      <c r="B20" s="72" t="s">
        <v>212</v>
      </c>
      <c r="C20" t="s">
        <v>194</v>
      </c>
    </row>
    <row r="21" spans="1:3" ht="24.75" thickBot="1" x14ac:dyDescent="0.3">
      <c r="A21" s="74">
        <v>995319101</v>
      </c>
      <c r="B21" s="72" t="s">
        <v>213</v>
      </c>
      <c r="C21" t="s">
        <v>194</v>
      </c>
    </row>
    <row r="22" spans="1:3" ht="24.75" thickBot="1" x14ac:dyDescent="0.3">
      <c r="A22" s="74">
        <v>875028642</v>
      </c>
      <c r="B22" s="72" t="s">
        <v>214</v>
      </c>
      <c r="C22" t="s">
        <v>194</v>
      </c>
    </row>
    <row r="23" spans="1:3" ht="15.75" thickBot="1" x14ac:dyDescent="0.3">
      <c r="A23" s="74">
        <v>974838028</v>
      </c>
      <c r="B23" s="72" t="s">
        <v>215</v>
      </c>
      <c r="C23" t="s">
        <v>194</v>
      </c>
    </row>
    <row r="24" spans="1:3" ht="15.75" thickBot="1" x14ac:dyDescent="0.3">
      <c r="A24" s="74">
        <v>988541222</v>
      </c>
      <c r="B24" s="72" t="s">
        <v>216</v>
      </c>
      <c r="C24" t="s">
        <v>194</v>
      </c>
    </row>
    <row r="25" spans="1:3" ht="15.75" thickBot="1" x14ac:dyDescent="0.3">
      <c r="A25" s="74">
        <v>975266702</v>
      </c>
      <c r="B25" s="72" t="s">
        <v>217</v>
      </c>
      <c r="C25" t="s">
        <v>194</v>
      </c>
    </row>
    <row r="26" spans="1:3" ht="24.75" thickBot="1" x14ac:dyDescent="0.3">
      <c r="A26" s="74">
        <v>985773017</v>
      </c>
      <c r="B26" s="72" t="s">
        <v>218</v>
      </c>
      <c r="C26" t="s">
        <v>194</v>
      </c>
    </row>
    <row r="27" spans="1:3" ht="15.75" thickBot="1" x14ac:dyDescent="0.3">
      <c r="A27" s="74">
        <v>974703351</v>
      </c>
      <c r="B27" s="72" t="s">
        <v>219</v>
      </c>
      <c r="C27" t="s">
        <v>194</v>
      </c>
    </row>
    <row r="28" spans="1:3" ht="24.75" thickBot="1" x14ac:dyDescent="0.3">
      <c r="A28" s="74">
        <v>973337491</v>
      </c>
      <c r="B28" s="72" t="s">
        <v>220</v>
      </c>
      <c r="C28" t="s">
        <v>194</v>
      </c>
    </row>
    <row r="29" spans="1:3" ht="15.75" thickBot="1" x14ac:dyDescent="0.3">
      <c r="A29" s="74">
        <v>973337459</v>
      </c>
      <c r="B29" s="72" t="s">
        <v>221</v>
      </c>
      <c r="C29" t="s">
        <v>194</v>
      </c>
    </row>
    <row r="30" spans="1:3" ht="15.75" thickBot="1" x14ac:dyDescent="0.3">
      <c r="A30" s="74">
        <v>988820628</v>
      </c>
      <c r="B30" s="72" t="s">
        <v>222</v>
      </c>
      <c r="C30" t="s">
        <v>194</v>
      </c>
    </row>
    <row r="31" spans="1:3" ht="15.75" thickBot="1" x14ac:dyDescent="0.3">
      <c r="A31" s="74">
        <v>975048179</v>
      </c>
      <c r="B31" s="72" t="s">
        <v>223</v>
      </c>
      <c r="C31" t="s">
        <v>194</v>
      </c>
    </row>
    <row r="32" spans="1:3" ht="15.75" thickBot="1" x14ac:dyDescent="0.3">
      <c r="A32" s="74">
        <v>973457497</v>
      </c>
      <c r="B32" s="72" t="s">
        <v>224</v>
      </c>
      <c r="C32" t="s">
        <v>194</v>
      </c>
    </row>
    <row r="33" spans="1:3" ht="15.75" thickBot="1" x14ac:dyDescent="0.3">
      <c r="A33" s="74">
        <v>975183939</v>
      </c>
      <c r="B33" s="72" t="s">
        <v>225</v>
      </c>
      <c r="C33" t="s">
        <v>194</v>
      </c>
    </row>
    <row r="34" spans="1:3" ht="24.75" thickBot="1" x14ac:dyDescent="0.3">
      <c r="A34" s="74">
        <v>987532874</v>
      </c>
      <c r="B34" s="72" t="s">
        <v>226</v>
      </c>
      <c r="C34" t="s">
        <v>194</v>
      </c>
    </row>
    <row r="35" spans="1:3" ht="15.75" thickBot="1" x14ac:dyDescent="0.3">
      <c r="A35" s="74">
        <v>974294443</v>
      </c>
      <c r="B35" s="72" t="s">
        <v>227</v>
      </c>
      <c r="C35" t="s">
        <v>194</v>
      </c>
    </row>
    <row r="36" spans="1:3" ht="15.75" thickBot="1" x14ac:dyDescent="0.3">
      <c r="A36" s="74">
        <v>973471872</v>
      </c>
      <c r="B36" s="72" t="s">
        <v>228</v>
      </c>
      <c r="C36" t="s">
        <v>194</v>
      </c>
    </row>
    <row r="37" spans="1:3" ht="15.75" thickBot="1" x14ac:dyDescent="0.3">
      <c r="A37" s="74">
        <v>973382403</v>
      </c>
      <c r="B37" s="72" t="s">
        <v>229</v>
      </c>
      <c r="C37" t="s">
        <v>194</v>
      </c>
    </row>
    <row r="38" spans="1:3" ht="15.75" thickBot="1" x14ac:dyDescent="0.3">
      <c r="A38" s="74">
        <v>973383191</v>
      </c>
      <c r="B38" s="72" t="s">
        <v>230</v>
      </c>
      <c r="C38" t="s">
        <v>194</v>
      </c>
    </row>
    <row r="39" spans="1:3" ht="15.75" thickBot="1" x14ac:dyDescent="0.3">
      <c r="A39" s="74">
        <v>973469207</v>
      </c>
      <c r="B39" s="72" t="s">
        <v>231</v>
      </c>
      <c r="C39" t="s">
        <v>194</v>
      </c>
    </row>
    <row r="40" spans="1:3" ht="24.75" thickBot="1" x14ac:dyDescent="0.3">
      <c r="A40" s="74">
        <v>975315258</v>
      </c>
      <c r="B40" s="72" t="s">
        <v>232</v>
      </c>
      <c r="C40" t="s">
        <v>194</v>
      </c>
    </row>
    <row r="41" spans="1:3" ht="24.75" thickBot="1" x14ac:dyDescent="0.3">
      <c r="A41" s="74">
        <v>975315096</v>
      </c>
      <c r="B41" s="72" t="s">
        <v>233</v>
      </c>
      <c r="C41" t="s">
        <v>194</v>
      </c>
    </row>
    <row r="42" spans="1:3" ht="24.75" thickBot="1" x14ac:dyDescent="0.3">
      <c r="A42" s="74">
        <v>974737760</v>
      </c>
      <c r="B42" s="72" t="s">
        <v>234</v>
      </c>
      <c r="C42" t="s">
        <v>194</v>
      </c>
    </row>
    <row r="43" spans="1:3" ht="24.75" thickBot="1" x14ac:dyDescent="0.3">
      <c r="A43" s="74">
        <v>979468105</v>
      </c>
      <c r="B43" s="72" t="s">
        <v>235</v>
      </c>
      <c r="C43" t="s">
        <v>194</v>
      </c>
    </row>
    <row r="44" spans="1:3" ht="15.75" thickBot="1" x14ac:dyDescent="0.3">
      <c r="A44" s="74">
        <v>873885262</v>
      </c>
      <c r="B44" s="72" t="s">
        <v>236</v>
      </c>
      <c r="C44" t="s">
        <v>194</v>
      </c>
    </row>
    <row r="45" spans="1:3" ht="15.75" thickBot="1" x14ac:dyDescent="0.3">
      <c r="A45" s="74">
        <v>973456636</v>
      </c>
      <c r="B45" s="72" t="s">
        <v>237</v>
      </c>
      <c r="C45" t="s">
        <v>194</v>
      </c>
    </row>
    <row r="46" spans="1:3" ht="15.75" thickBot="1" x14ac:dyDescent="0.3">
      <c r="A46" s="74">
        <v>873349352</v>
      </c>
      <c r="B46" s="72" t="s">
        <v>238</v>
      </c>
      <c r="C46" t="s">
        <v>194</v>
      </c>
    </row>
    <row r="47" spans="1:3" ht="15.75" thickBot="1" x14ac:dyDescent="0.3">
      <c r="A47" s="74">
        <v>974102226</v>
      </c>
      <c r="B47" s="72" t="s">
        <v>239</v>
      </c>
      <c r="C47" t="s">
        <v>194</v>
      </c>
    </row>
    <row r="48" spans="1:3" ht="15.75" thickBot="1" x14ac:dyDescent="0.3">
      <c r="A48" s="74">
        <v>974305658</v>
      </c>
      <c r="B48" s="72" t="s">
        <v>240</v>
      </c>
      <c r="C48" t="s">
        <v>194</v>
      </c>
    </row>
    <row r="49" spans="1:3" ht="15.75" thickBot="1" x14ac:dyDescent="0.3">
      <c r="A49" s="74">
        <v>974157187</v>
      </c>
      <c r="B49" s="72" t="s">
        <v>241</v>
      </c>
      <c r="C49" t="s">
        <v>194</v>
      </c>
    </row>
    <row r="50" spans="1:3" ht="15.75" thickBot="1" x14ac:dyDescent="0.3">
      <c r="A50" s="74">
        <v>996005364</v>
      </c>
      <c r="B50" s="72" t="s">
        <v>242</v>
      </c>
      <c r="C50" t="s">
        <v>194</v>
      </c>
    </row>
    <row r="51" spans="1:3" ht="15.75" thickBot="1" x14ac:dyDescent="0.3">
      <c r="A51" s="74">
        <v>973469819</v>
      </c>
      <c r="B51" s="72" t="s">
        <v>243</v>
      </c>
      <c r="C51" t="s">
        <v>194</v>
      </c>
    </row>
    <row r="52" spans="1:3" ht="15.75" thickBot="1" x14ac:dyDescent="0.3">
      <c r="A52" s="74">
        <v>973454544</v>
      </c>
      <c r="B52" s="72" t="s">
        <v>244</v>
      </c>
      <c r="C52" t="s">
        <v>194</v>
      </c>
    </row>
    <row r="53" spans="1:3" ht="15.75" thickBot="1" x14ac:dyDescent="0.3">
      <c r="A53" s="74">
        <v>874800082</v>
      </c>
      <c r="B53" s="72" t="s">
        <v>245</v>
      </c>
      <c r="C53" t="s">
        <v>194</v>
      </c>
    </row>
    <row r="54" spans="1:3" ht="15.75" thickBot="1" x14ac:dyDescent="0.3">
      <c r="A54" s="74">
        <v>973448706</v>
      </c>
      <c r="B54" s="72" t="s">
        <v>246</v>
      </c>
      <c r="C54" t="s">
        <v>194</v>
      </c>
    </row>
    <row r="55" spans="1:3" ht="15.75" thickBot="1" x14ac:dyDescent="0.3">
      <c r="A55" s="74">
        <v>973352377</v>
      </c>
      <c r="B55" s="72" t="s">
        <v>247</v>
      </c>
      <c r="C55" t="s">
        <v>194</v>
      </c>
    </row>
    <row r="56" spans="1:3" ht="15.75" thickBot="1" x14ac:dyDescent="0.3">
      <c r="A56" s="74">
        <v>989536338</v>
      </c>
      <c r="B56" s="72" t="s">
        <v>248</v>
      </c>
      <c r="C56" t="s">
        <v>194</v>
      </c>
    </row>
    <row r="57" spans="1:3" ht="15.75" thickBot="1" x14ac:dyDescent="0.3">
      <c r="A57" s="74">
        <v>973817493</v>
      </c>
      <c r="B57" s="72" t="s">
        <v>249</v>
      </c>
      <c r="C57" t="s">
        <v>194</v>
      </c>
    </row>
    <row r="58" spans="1:3" ht="15.75" thickBot="1" x14ac:dyDescent="0.3">
      <c r="A58" s="74">
        <v>982451361</v>
      </c>
      <c r="B58" s="72" t="s">
        <v>250</v>
      </c>
      <c r="C58" t="s">
        <v>194</v>
      </c>
    </row>
    <row r="59" spans="1:3" ht="15.75" thickBot="1" x14ac:dyDescent="0.3">
      <c r="A59" s="74">
        <v>993131075</v>
      </c>
      <c r="B59" s="72" t="s">
        <v>251</v>
      </c>
      <c r="C59" t="s">
        <v>194</v>
      </c>
    </row>
    <row r="60" spans="1:3" ht="15.75" thickBot="1" x14ac:dyDescent="0.3">
      <c r="A60" s="74">
        <v>994249622</v>
      </c>
      <c r="B60" s="72" t="s">
        <v>252</v>
      </c>
      <c r="C60" t="s">
        <v>194</v>
      </c>
    </row>
    <row r="61" spans="1:3" ht="24.75" thickBot="1" x14ac:dyDescent="0.3">
      <c r="A61" s="74">
        <v>996000389</v>
      </c>
      <c r="B61" s="72" t="s">
        <v>253</v>
      </c>
      <c r="C61" t="s">
        <v>194</v>
      </c>
    </row>
    <row r="62" spans="1:3" ht="15.75" thickBot="1" x14ac:dyDescent="0.3">
      <c r="A62" s="74">
        <v>974703009</v>
      </c>
      <c r="B62" s="72" t="s">
        <v>254</v>
      </c>
      <c r="C62" t="s">
        <v>194</v>
      </c>
    </row>
    <row r="63" spans="1:3" ht="15.75" thickBot="1" x14ac:dyDescent="0.3">
      <c r="A63" s="74">
        <v>981232232</v>
      </c>
      <c r="B63" s="72" t="s">
        <v>255</v>
      </c>
      <c r="C63" t="s">
        <v>194</v>
      </c>
    </row>
    <row r="64" spans="1:3" ht="24.75" thickBot="1" x14ac:dyDescent="0.3">
      <c r="A64" s="74">
        <v>993804703</v>
      </c>
      <c r="B64" s="72" t="s">
        <v>256</v>
      </c>
      <c r="C64" t="s">
        <v>194</v>
      </c>
    </row>
    <row r="65" spans="1:3" ht="24.75" thickBot="1" x14ac:dyDescent="0.3">
      <c r="A65" s="74">
        <v>973269852</v>
      </c>
      <c r="B65" s="72" t="s">
        <v>257</v>
      </c>
      <c r="C65" t="s">
        <v>194</v>
      </c>
    </row>
    <row r="66" spans="1:3" ht="15.75" thickBot="1" x14ac:dyDescent="0.3">
      <c r="A66" s="74">
        <v>994915959</v>
      </c>
      <c r="B66" s="72" t="s">
        <v>258</v>
      </c>
      <c r="C66" t="s">
        <v>194</v>
      </c>
    </row>
    <row r="67" spans="1:3" ht="15.75" thickBot="1" x14ac:dyDescent="0.3">
      <c r="A67" s="74">
        <v>874116572</v>
      </c>
      <c r="B67" s="72" t="s">
        <v>259</v>
      </c>
      <c r="C67" t="s">
        <v>194</v>
      </c>
    </row>
    <row r="68" spans="1:3" ht="15.75" thickBot="1" x14ac:dyDescent="0.3">
      <c r="A68" s="74">
        <v>973449133</v>
      </c>
      <c r="B68" s="72" t="s">
        <v>260</v>
      </c>
      <c r="C68" t="s">
        <v>194</v>
      </c>
    </row>
    <row r="69" spans="1:3" ht="15.75" thickBot="1" x14ac:dyDescent="0.3">
      <c r="A69" s="74">
        <v>974156318</v>
      </c>
      <c r="B69" s="72" t="s">
        <v>261</v>
      </c>
      <c r="C69" t="s">
        <v>194</v>
      </c>
    </row>
    <row r="70" spans="1:3" ht="15.75" thickBot="1" x14ac:dyDescent="0.3">
      <c r="A70" s="74">
        <v>983214770</v>
      </c>
      <c r="B70" s="72" t="s">
        <v>262</v>
      </c>
      <c r="C70" t="s">
        <v>194</v>
      </c>
    </row>
    <row r="71" spans="1:3" ht="15.75" thickBot="1" x14ac:dyDescent="0.3">
      <c r="A71" s="74">
        <v>972209503</v>
      </c>
      <c r="B71" s="72" t="s">
        <v>263</v>
      </c>
      <c r="C71" t="s">
        <v>194</v>
      </c>
    </row>
    <row r="72" spans="1:3" ht="15.75" thickBot="1" x14ac:dyDescent="0.3">
      <c r="A72" s="74">
        <v>980098974</v>
      </c>
      <c r="B72" s="72" t="s">
        <v>264</v>
      </c>
      <c r="C72" t="s">
        <v>194</v>
      </c>
    </row>
    <row r="73" spans="1:3" ht="15.75" thickBot="1" x14ac:dyDescent="0.3">
      <c r="A73" s="74">
        <v>973304143</v>
      </c>
      <c r="B73" s="72" t="s">
        <v>265</v>
      </c>
      <c r="C73" t="s">
        <v>194</v>
      </c>
    </row>
    <row r="74" spans="1:3" ht="15.75" thickBot="1" x14ac:dyDescent="0.3">
      <c r="A74" s="74">
        <v>981133234</v>
      </c>
      <c r="B74" s="72" t="s">
        <v>266</v>
      </c>
      <c r="C74" t="s">
        <v>194</v>
      </c>
    </row>
    <row r="75" spans="1:3" ht="15.75" thickBot="1" x14ac:dyDescent="0.3">
      <c r="A75" s="74">
        <v>994947362</v>
      </c>
      <c r="B75" s="72" t="s">
        <v>267</v>
      </c>
      <c r="C75" t="s">
        <v>194</v>
      </c>
    </row>
    <row r="76" spans="1:3" ht="15.75" thickBot="1" x14ac:dyDescent="0.3">
      <c r="A76" s="74">
        <v>920560504</v>
      </c>
      <c r="B76" s="72" t="s">
        <v>268</v>
      </c>
      <c r="C76" t="s">
        <v>194</v>
      </c>
    </row>
    <row r="77" spans="1:3" ht="15.75" thickBot="1" x14ac:dyDescent="0.3">
      <c r="A77" s="74">
        <v>982926610</v>
      </c>
      <c r="B77" s="72" t="s">
        <v>269</v>
      </c>
      <c r="C77" t="s">
        <v>194</v>
      </c>
    </row>
    <row r="78" spans="1:3" ht="15.75" thickBot="1" x14ac:dyDescent="0.3">
      <c r="A78" s="74">
        <v>974702843</v>
      </c>
      <c r="B78" s="72" t="s">
        <v>270</v>
      </c>
      <c r="C78" t="s">
        <v>194</v>
      </c>
    </row>
    <row r="79" spans="1:3" ht="15.75" thickBot="1" x14ac:dyDescent="0.3">
      <c r="A79" s="74">
        <v>973479881</v>
      </c>
      <c r="B79" s="72" t="s">
        <v>271</v>
      </c>
      <c r="C79" t="s">
        <v>194</v>
      </c>
    </row>
    <row r="80" spans="1:3" ht="15.75" thickBot="1" x14ac:dyDescent="0.3">
      <c r="A80" s="74">
        <v>972138487</v>
      </c>
      <c r="B80" s="72" t="s">
        <v>272</v>
      </c>
      <c r="C80" t="s">
        <v>194</v>
      </c>
    </row>
    <row r="81" spans="1:3" ht="15.75" thickBot="1" x14ac:dyDescent="0.3">
      <c r="A81" s="74">
        <v>994915274</v>
      </c>
      <c r="B81" s="72" t="s">
        <v>273</v>
      </c>
      <c r="C81" t="s">
        <v>194</v>
      </c>
    </row>
    <row r="82" spans="1:3" ht="15.75" thickBot="1" x14ac:dyDescent="0.3">
      <c r="A82" s="74">
        <v>973469983</v>
      </c>
      <c r="B82" s="72" t="s">
        <v>274</v>
      </c>
      <c r="C82" t="s">
        <v>194</v>
      </c>
    </row>
    <row r="83" spans="1:3" ht="24.75" thickBot="1" x14ac:dyDescent="0.3">
      <c r="A83" s="74">
        <v>996004783</v>
      </c>
      <c r="B83" s="72" t="s">
        <v>275</v>
      </c>
      <c r="C83" t="s">
        <v>194</v>
      </c>
    </row>
    <row r="84" spans="1:3" ht="15.75" thickBot="1" x14ac:dyDescent="0.3">
      <c r="A84" s="74">
        <v>994902903</v>
      </c>
      <c r="B84" s="72" t="s">
        <v>276</v>
      </c>
      <c r="C84" t="s">
        <v>194</v>
      </c>
    </row>
    <row r="85" spans="1:3" ht="15.75" thickBot="1" x14ac:dyDescent="0.3">
      <c r="A85" s="74">
        <v>972517038</v>
      </c>
      <c r="B85" s="72" t="s">
        <v>277</v>
      </c>
      <c r="C85" t="s">
        <v>194</v>
      </c>
    </row>
    <row r="86" spans="1:3" ht="15.75" thickBot="1" x14ac:dyDescent="0.3">
      <c r="A86" s="74">
        <v>975185117</v>
      </c>
      <c r="B86" s="72" t="s">
        <v>278</v>
      </c>
      <c r="C86" t="s">
        <v>194</v>
      </c>
    </row>
    <row r="87" spans="1:3" ht="15.75" thickBot="1" x14ac:dyDescent="0.3">
      <c r="A87" s="74">
        <v>874703362</v>
      </c>
      <c r="B87" s="72" t="s">
        <v>279</v>
      </c>
      <c r="C87" t="s">
        <v>194</v>
      </c>
    </row>
    <row r="88" spans="1:3" ht="15.75" thickBot="1" x14ac:dyDescent="0.3">
      <c r="A88" s="74">
        <v>973455710</v>
      </c>
      <c r="B88" s="72" t="s">
        <v>280</v>
      </c>
      <c r="C88" t="s">
        <v>194</v>
      </c>
    </row>
    <row r="89" spans="1:3" ht="15.75" thickBot="1" x14ac:dyDescent="0.3">
      <c r="A89" s="74">
        <v>974703386</v>
      </c>
      <c r="B89" s="72" t="s">
        <v>281</v>
      </c>
      <c r="C89" t="s">
        <v>194</v>
      </c>
    </row>
    <row r="90" spans="1:3" ht="15.75" thickBot="1" x14ac:dyDescent="0.3">
      <c r="A90" s="74">
        <v>995119560</v>
      </c>
      <c r="B90" s="72" t="s">
        <v>282</v>
      </c>
      <c r="C90" t="s">
        <v>194</v>
      </c>
    </row>
    <row r="91" spans="1:3" ht="24.75" thickBot="1" x14ac:dyDescent="0.3">
      <c r="A91" s="74">
        <v>974725142</v>
      </c>
      <c r="B91" s="72" t="s">
        <v>283</v>
      </c>
      <c r="C91" t="s">
        <v>194</v>
      </c>
    </row>
    <row r="92" spans="1:3" ht="15.75" thickBot="1" x14ac:dyDescent="0.3">
      <c r="A92" s="74">
        <v>889857072</v>
      </c>
      <c r="B92" s="72" t="s">
        <v>284</v>
      </c>
      <c r="C92" t="s">
        <v>194</v>
      </c>
    </row>
    <row r="93" spans="1:3" ht="15.75" thickBot="1" x14ac:dyDescent="0.3">
      <c r="A93" s="74">
        <v>974224356</v>
      </c>
      <c r="B93" s="72" t="s">
        <v>285</v>
      </c>
      <c r="C93" t="s">
        <v>194</v>
      </c>
    </row>
    <row r="94" spans="1:3" ht="24.75" thickBot="1" x14ac:dyDescent="0.3">
      <c r="A94" s="74">
        <v>979781857</v>
      </c>
      <c r="B94" s="72" t="s">
        <v>286</v>
      </c>
      <c r="C94" t="s">
        <v>194</v>
      </c>
    </row>
    <row r="95" spans="1:3" ht="15.75" thickBot="1" x14ac:dyDescent="0.3">
      <c r="A95" s="74">
        <v>974142740</v>
      </c>
      <c r="B95" s="72" t="s">
        <v>287</v>
      </c>
      <c r="C95" t="s">
        <v>194</v>
      </c>
    </row>
    <row r="96" spans="1:3" ht="15.75" thickBot="1" x14ac:dyDescent="0.3">
      <c r="A96" s="74">
        <v>931679007</v>
      </c>
      <c r="B96" s="72" t="s">
        <v>288</v>
      </c>
      <c r="C96" t="s">
        <v>194</v>
      </c>
    </row>
    <row r="97" spans="1:3" ht="15.75" thickBot="1" x14ac:dyDescent="0.3">
      <c r="A97" s="74">
        <v>973448633</v>
      </c>
      <c r="B97" s="72" t="s">
        <v>289</v>
      </c>
      <c r="C97" t="s">
        <v>194</v>
      </c>
    </row>
    <row r="98" spans="1:3" ht="15.75" thickBot="1" x14ac:dyDescent="0.3">
      <c r="A98" s="74">
        <v>974857561</v>
      </c>
      <c r="B98" s="72" t="s">
        <v>290</v>
      </c>
      <c r="C98" t="s">
        <v>194</v>
      </c>
    </row>
    <row r="99" spans="1:3" ht="15.75" thickBot="1" x14ac:dyDescent="0.3">
      <c r="A99" s="74">
        <v>973382322</v>
      </c>
      <c r="B99" s="72" t="s">
        <v>291</v>
      </c>
      <c r="C99" t="s">
        <v>194</v>
      </c>
    </row>
    <row r="100" spans="1:3" ht="15.75" thickBot="1" x14ac:dyDescent="0.3">
      <c r="A100" s="74">
        <v>993266361</v>
      </c>
      <c r="B100" s="72" t="s">
        <v>292</v>
      </c>
      <c r="C100" t="s">
        <v>194</v>
      </c>
    </row>
    <row r="101" spans="1:3" ht="24.75" thickBot="1" x14ac:dyDescent="0.3">
      <c r="A101" s="74">
        <v>981098749</v>
      </c>
      <c r="B101" s="72" t="s">
        <v>293</v>
      </c>
      <c r="C101" t="s">
        <v>194</v>
      </c>
    </row>
    <row r="102" spans="1:3" ht="15.75" thickBot="1" x14ac:dyDescent="0.3">
      <c r="A102" s="74">
        <v>973489321</v>
      </c>
      <c r="B102" s="72" t="s">
        <v>294</v>
      </c>
      <c r="C102" t="s">
        <v>194</v>
      </c>
    </row>
    <row r="103" spans="1:3" ht="15.75" thickBot="1" x14ac:dyDescent="0.3">
      <c r="A103" s="74">
        <v>973494368</v>
      </c>
      <c r="B103" s="72" t="s">
        <v>295</v>
      </c>
      <c r="C103" t="s">
        <v>194</v>
      </c>
    </row>
    <row r="104" spans="1:3" ht="15.75" thickBot="1" x14ac:dyDescent="0.3">
      <c r="A104" s="74">
        <v>979740530</v>
      </c>
      <c r="B104" s="72" t="s">
        <v>296</v>
      </c>
      <c r="C104" t="s">
        <v>194</v>
      </c>
    </row>
    <row r="105" spans="1:3" ht="15.75" thickBot="1" x14ac:dyDescent="0.3">
      <c r="A105" s="74">
        <v>996000540</v>
      </c>
      <c r="B105" s="72" t="s">
        <v>297</v>
      </c>
      <c r="C105" t="s">
        <v>194</v>
      </c>
    </row>
    <row r="106" spans="1:3" ht="15.75" thickBot="1" x14ac:dyDescent="0.3">
      <c r="A106" s="74">
        <v>974798670</v>
      </c>
      <c r="B106" s="72" t="s">
        <v>298</v>
      </c>
      <c r="C106" t="s">
        <v>194</v>
      </c>
    </row>
    <row r="107" spans="1:3" ht="15.75" thickBot="1" x14ac:dyDescent="0.3">
      <c r="A107" s="74">
        <v>973390953</v>
      </c>
      <c r="B107" s="72" t="s">
        <v>299</v>
      </c>
      <c r="C107" t="s">
        <v>194</v>
      </c>
    </row>
    <row r="108" spans="1:3" ht="15.75" thickBot="1" x14ac:dyDescent="0.3">
      <c r="A108" s="74">
        <v>875211382</v>
      </c>
      <c r="B108" s="72" t="s">
        <v>300</v>
      </c>
      <c r="C108" t="s">
        <v>194</v>
      </c>
    </row>
    <row r="109" spans="1:3" ht="15.75" thickBot="1" x14ac:dyDescent="0.3">
      <c r="A109" s="74">
        <v>985917981</v>
      </c>
      <c r="B109" s="72" t="s">
        <v>301</v>
      </c>
      <c r="C109" t="s">
        <v>194</v>
      </c>
    </row>
    <row r="110" spans="1:3" ht="15.75" thickBot="1" x14ac:dyDescent="0.3">
      <c r="A110" s="74">
        <v>974197901</v>
      </c>
      <c r="B110" s="72" t="s">
        <v>302</v>
      </c>
      <c r="C110" t="s">
        <v>194</v>
      </c>
    </row>
    <row r="111" spans="1:3" ht="15.75" thickBot="1" x14ac:dyDescent="0.3">
      <c r="A111" s="74">
        <v>973456458</v>
      </c>
      <c r="B111" s="72" t="s">
        <v>303</v>
      </c>
      <c r="C111" t="s">
        <v>194</v>
      </c>
    </row>
    <row r="112" spans="1:3" ht="15.75" thickBot="1" x14ac:dyDescent="0.3">
      <c r="A112" s="74">
        <v>987751894</v>
      </c>
      <c r="B112" s="72" t="s">
        <v>304</v>
      </c>
      <c r="C112" t="s">
        <v>194</v>
      </c>
    </row>
    <row r="113" spans="1:3" ht="15.75" thickBot="1" x14ac:dyDescent="0.3">
      <c r="A113" s="74">
        <v>973535765</v>
      </c>
      <c r="B113" s="72" t="s">
        <v>305</v>
      </c>
      <c r="C113" t="s">
        <v>194</v>
      </c>
    </row>
    <row r="114" spans="1:3" ht="15.75" thickBot="1" x14ac:dyDescent="0.3">
      <c r="A114" s="74">
        <v>973772503</v>
      </c>
      <c r="B114" s="72" t="s">
        <v>306</v>
      </c>
      <c r="C114" t="s">
        <v>194</v>
      </c>
    </row>
    <row r="115" spans="1:3" ht="15.75" thickBot="1" x14ac:dyDescent="0.3">
      <c r="A115" s="74">
        <v>996006158</v>
      </c>
      <c r="B115" s="72" t="s">
        <v>307</v>
      </c>
      <c r="C115" t="s">
        <v>194</v>
      </c>
    </row>
    <row r="116" spans="1:3" ht="15.75" thickBot="1" x14ac:dyDescent="0.3">
      <c r="A116" s="74">
        <v>974194678</v>
      </c>
      <c r="B116" s="72" t="s">
        <v>308</v>
      </c>
      <c r="C116" t="s">
        <v>194</v>
      </c>
    </row>
    <row r="117" spans="1:3" ht="15.75" thickBot="1" x14ac:dyDescent="0.3">
      <c r="A117" s="74">
        <v>975266842</v>
      </c>
      <c r="B117" s="72" t="s">
        <v>309</v>
      </c>
      <c r="C117" t="s">
        <v>194</v>
      </c>
    </row>
    <row r="118" spans="1:3" ht="15.75" thickBot="1" x14ac:dyDescent="0.3">
      <c r="A118" s="74">
        <v>994274406</v>
      </c>
      <c r="B118" s="72" t="s">
        <v>310</v>
      </c>
      <c r="C118" t="s">
        <v>194</v>
      </c>
    </row>
    <row r="119" spans="1:3" ht="24.75" thickBot="1" x14ac:dyDescent="0.3">
      <c r="A119" s="74">
        <v>974703408</v>
      </c>
      <c r="B119" s="72" t="s">
        <v>311</v>
      </c>
      <c r="C119" t="s">
        <v>194</v>
      </c>
    </row>
    <row r="120" spans="1:3" ht="15.75" thickBot="1" x14ac:dyDescent="0.3">
      <c r="A120" s="74">
        <v>974156458</v>
      </c>
      <c r="B120" s="72" t="s">
        <v>312</v>
      </c>
      <c r="C120" t="s">
        <v>194</v>
      </c>
    </row>
    <row r="121" spans="1:3" ht="15.75" thickBot="1" x14ac:dyDescent="0.3">
      <c r="A121" s="74">
        <v>973334875</v>
      </c>
      <c r="B121" s="72" t="s">
        <v>313</v>
      </c>
      <c r="C121" t="s">
        <v>194</v>
      </c>
    </row>
    <row r="122" spans="1:3" ht="15.75" thickBot="1" x14ac:dyDescent="0.3">
      <c r="A122" s="74">
        <v>972339563</v>
      </c>
      <c r="B122" s="72" t="s">
        <v>314</v>
      </c>
      <c r="C122" t="s">
        <v>194</v>
      </c>
    </row>
    <row r="123" spans="1:3" ht="15.75" thickBot="1" x14ac:dyDescent="0.3">
      <c r="A123" s="74">
        <v>983604560</v>
      </c>
      <c r="B123" s="72" t="s">
        <v>315</v>
      </c>
      <c r="C123" t="s">
        <v>194</v>
      </c>
    </row>
    <row r="124" spans="1:3" ht="15.75" thickBot="1" x14ac:dyDescent="0.3">
      <c r="A124" s="74">
        <v>973763881</v>
      </c>
      <c r="B124" s="72" t="s">
        <v>316</v>
      </c>
      <c r="C124" t="s">
        <v>194</v>
      </c>
    </row>
    <row r="125" spans="1:3" ht="15.75" thickBot="1" x14ac:dyDescent="0.3">
      <c r="A125" s="74">
        <v>973456466</v>
      </c>
      <c r="B125" s="72" t="s">
        <v>317</v>
      </c>
      <c r="C125" t="s">
        <v>194</v>
      </c>
    </row>
    <row r="126" spans="1:3" ht="15.75" thickBot="1" x14ac:dyDescent="0.3">
      <c r="A126" s="74">
        <v>973458515</v>
      </c>
      <c r="B126" s="72" t="s">
        <v>318</v>
      </c>
      <c r="C126" t="s">
        <v>194</v>
      </c>
    </row>
    <row r="127" spans="1:3" ht="24.75" thickBot="1" x14ac:dyDescent="0.3">
      <c r="A127" s="74">
        <v>990635498</v>
      </c>
      <c r="B127" s="72" t="s">
        <v>319</v>
      </c>
      <c r="C127" t="s">
        <v>194</v>
      </c>
    </row>
    <row r="128" spans="1:3" ht="15.75" thickBot="1" x14ac:dyDescent="0.3">
      <c r="A128" s="74">
        <v>990635285</v>
      </c>
      <c r="B128" s="72" t="s">
        <v>320</v>
      </c>
      <c r="C128" t="s">
        <v>194</v>
      </c>
    </row>
    <row r="129" spans="1:3" ht="15.75" thickBot="1" x14ac:dyDescent="0.3">
      <c r="A129" s="74">
        <v>991843876</v>
      </c>
      <c r="B129" s="72" t="s">
        <v>321</v>
      </c>
      <c r="C129" t="s">
        <v>194</v>
      </c>
    </row>
    <row r="130" spans="1:3" ht="15.75" thickBot="1" x14ac:dyDescent="0.3">
      <c r="A130" s="74">
        <v>973454528</v>
      </c>
      <c r="B130" s="72" t="s">
        <v>322</v>
      </c>
      <c r="C130" t="s">
        <v>194</v>
      </c>
    </row>
    <row r="131" spans="1:3" ht="15.75" thickBot="1" x14ac:dyDescent="0.3">
      <c r="A131" s="74">
        <v>972290920</v>
      </c>
      <c r="B131" s="72" t="s">
        <v>323</v>
      </c>
      <c r="C131" t="s">
        <v>194</v>
      </c>
    </row>
    <row r="132" spans="1:3" ht="15.75" thickBot="1" x14ac:dyDescent="0.3">
      <c r="A132" s="74">
        <v>993481947</v>
      </c>
      <c r="B132" s="72" t="s">
        <v>324</v>
      </c>
      <c r="C132" t="s">
        <v>194</v>
      </c>
    </row>
    <row r="133" spans="1:3" ht="15.75" thickBot="1" x14ac:dyDescent="0.3">
      <c r="A133" s="74">
        <v>973877070</v>
      </c>
      <c r="B133" s="72" t="s">
        <v>325</v>
      </c>
      <c r="C133" t="s">
        <v>194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P9" sqref="P9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29.140625" customWidth="1"/>
    <col min="24" max="24" width="16.42578125" customWidth="1"/>
  </cols>
  <sheetData>
    <row r="1" spans="1:24" x14ac:dyDescent="0.25">
      <c r="A1" t="s">
        <v>326</v>
      </c>
      <c r="B1" t="s">
        <v>56</v>
      </c>
      <c r="C1" t="s">
        <v>327</v>
      </c>
      <c r="D1" t="s">
        <v>328</v>
      </c>
      <c r="E1" t="s">
        <v>23</v>
      </c>
      <c r="F1" t="s">
        <v>121</v>
      </c>
      <c r="I1" t="s">
        <v>329</v>
      </c>
    </row>
    <row r="2" spans="1:24" x14ac:dyDescent="0.25">
      <c r="A2">
        <v>4201</v>
      </c>
      <c r="B2" t="s">
        <v>330</v>
      </c>
      <c r="C2" t="s">
        <v>331</v>
      </c>
      <c r="D2">
        <v>2</v>
      </c>
      <c r="E2">
        <f>_xlfn.XLOOKUP(arbgiveravg[[#This Row],[Sone]],arbeidsgiveravgift[Sone],arbeidsgiveravgift[Sats])</f>
        <v>0.106</v>
      </c>
      <c r="T2" t="s">
        <v>335</v>
      </c>
      <c r="U2" t="s">
        <v>336</v>
      </c>
      <c r="W2" t="s">
        <v>333</v>
      </c>
      <c r="X2" t="s">
        <v>725</v>
      </c>
    </row>
    <row r="3" spans="1:24" x14ac:dyDescent="0.25">
      <c r="A3">
        <v>4202</v>
      </c>
      <c r="B3" t="s">
        <v>332</v>
      </c>
      <c r="C3" t="s">
        <v>331</v>
      </c>
      <c r="D3">
        <v>1</v>
      </c>
      <c r="E3">
        <f>_xlfn.XLOOKUP(arbgiveravg[[#This Row],[Sone]],arbeidsgiveravgift[Sone],arbeidsgiveravgift[Sats])</f>
        <v>0.14099999999999999</v>
      </c>
      <c r="J3" t="s">
        <v>328</v>
      </c>
      <c r="K3" t="s">
        <v>23</v>
      </c>
      <c r="O3" t="s">
        <v>333</v>
      </c>
      <c r="P3" s="85" t="s">
        <v>120</v>
      </c>
      <c r="Q3" t="s">
        <v>59</v>
      </c>
      <c r="S3" t="s">
        <v>334</v>
      </c>
      <c r="W3">
        <v>1</v>
      </c>
      <c r="X3" t="s">
        <v>52</v>
      </c>
    </row>
    <row r="4" spans="1:24" x14ac:dyDescent="0.25">
      <c r="A4">
        <v>4203</v>
      </c>
      <c r="B4" t="s">
        <v>337</v>
      </c>
      <c r="C4" t="s">
        <v>331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75">
        <v>0.14099999999999999</v>
      </c>
      <c r="O4">
        <v>1</v>
      </c>
      <c r="P4" t="s">
        <v>103</v>
      </c>
      <c r="W4">
        <v>2</v>
      </c>
      <c r="X4" t="s">
        <v>53</v>
      </c>
    </row>
    <row r="5" spans="1:24" x14ac:dyDescent="0.25">
      <c r="A5">
        <v>4204</v>
      </c>
      <c r="B5" t="s">
        <v>338</v>
      </c>
      <c r="C5" t="s">
        <v>331</v>
      </c>
      <c r="D5">
        <v>1</v>
      </c>
      <c r="E5">
        <f>_xlfn.XLOOKUP(arbgiveravg[[#This Row],[Sone]],arbeidsgiveravgift[Sone],arbeidsgiveravgift[Sats])</f>
        <v>0.14099999999999999</v>
      </c>
      <c r="J5" t="s">
        <v>339</v>
      </c>
      <c r="K5" s="75">
        <v>0.106</v>
      </c>
      <c r="O5">
        <v>2</v>
      </c>
      <c r="P5" t="s">
        <v>104</v>
      </c>
      <c r="W5">
        <v>3</v>
      </c>
      <c r="X5" t="s">
        <v>724</v>
      </c>
    </row>
    <row r="6" spans="1:24" x14ac:dyDescent="0.25">
      <c r="A6">
        <v>4205</v>
      </c>
      <c r="B6" t="s">
        <v>340</v>
      </c>
      <c r="C6" t="s">
        <v>331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75">
        <v>0.106</v>
      </c>
      <c r="O6">
        <v>3</v>
      </c>
      <c r="P6" t="s">
        <v>105</v>
      </c>
    </row>
    <row r="7" spans="1:24" x14ac:dyDescent="0.25">
      <c r="A7">
        <v>4206</v>
      </c>
      <c r="B7" t="s">
        <v>341</v>
      </c>
      <c r="C7" t="s">
        <v>331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75">
        <v>6.4000000000000001E-2</v>
      </c>
      <c r="O7">
        <v>4</v>
      </c>
      <c r="P7" t="s">
        <v>107</v>
      </c>
    </row>
    <row r="8" spans="1:24" x14ac:dyDescent="0.25">
      <c r="A8">
        <v>4207</v>
      </c>
      <c r="B8" t="s">
        <v>342</v>
      </c>
      <c r="C8" t="s">
        <v>331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75">
        <v>5.0999999999999997E-2</v>
      </c>
      <c r="O8">
        <v>5</v>
      </c>
      <c r="P8" t="s">
        <v>108</v>
      </c>
    </row>
    <row r="9" spans="1:24" x14ac:dyDescent="0.25">
      <c r="A9">
        <v>4211</v>
      </c>
      <c r="B9" t="s">
        <v>343</v>
      </c>
      <c r="C9" t="s">
        <v>331</v>
      </c>
      <c r="D9">
        <v>2</v>
      </c>
      <c r="E9">
        <f>_xlfn.XLOOKUP(arbgiveravg[[#This Row],[Sone]],arbeidsgiveravgift[Sone],arbeidsgiveravgift[Sats])</f>
        <v>0.106</v>
      </c>
      <c r="J9" t="s">
        <v>344</v>
      </c>
      <c r="K9" s="75">
        <v>7.9000000000000001E-2</v>
      </c>
      <c r="O9">
        <v>6</v>
      </c>
      <c r="P9" t="s">
        <v>109</v>
      </c>
    </row>
    <row r="10" spans="1:24" x14ac:dyDescent="0.25">
      <c r="A10">
        <v>4212</v>
      </c>
      <c r="B10" t="s">
        <v>345</v>
      </c>
      <c r="C10" t="s">
        <v>331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76">
        <v>0</v>
      </c>
      <c r="O10">
        <v>7</v>
      </c>
      <c r="P10" t="s">
        <v>110</v>
      </c>
    </row>
    <row r="11" spans="1:24" x14ac:dyDescent="0.25">
      <c r="A11">
        <v>4213</v>
      </c>
      <c r="B11" t="s">
        <v>346</v>
      </c>
      <c r="C11" t="s">
        <v>331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119</v>
      </c>
    </row>
    <row r="12" spans="1:24" x14ac:dyDescent="0.25">
      <c r="A12">
        <v>4214</v>
      </c>
      <c r="B12" t="s">
        <v>347</v>
      </c>
      <c r="C12" t="s">
        <v>331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755</v>
      </c>
    </row>
    <row r="13" spans="1:24" x14ac:dyDescent="0.25">
      <c r="A13">
        <v>4215</v>
      </c>
      <c r="B13" t="s">
        <v>348</v>
      </c>
      <c r="C13" t="s">
        <v>331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111</v>
      </c>
    </row>
    <row r="14" spans="1:24" x14ac:dyDescent="0.25">
      <c r="A14">
        <v>4216</v>
      </c>
      <c r="B14" t="s">
        <v>349</v>
      </c>
      <c r="C14" t="s">
        <v>331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758</v>
      </c>
    </row>
    <row r="15" spans="1:24" x14ac:dyDescent="0.25">
      <c r="A15">
        <v>4217</v>
      </c>
      <c r="B15" t="s">
        <v>350</v>
      </c>
      <c r="C15" t="s">
        <v>331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106</v>
      </c>
    </row>
    <row r="16" spans="1:24" x14ac:dyDescent="0.25">
      <c r="A16">
        <v>4218</v>
      </c>
      <c r="B16" t="s">
        <v>351</v>
      </c>
      <c r="C16" t="s">
        <v>331</v>
      </c>
      <c r="D16" t="s">
        <v>339</v>
      </c>
      <c r="E16">
        <f>_xlfn.XLOOKUP(arbgiveravg[[#This Row],[Sone]],arbeidsgiveravgift[Sone],arbeidsgiveravgift[Sats])</f>
        <v>0.106</v>
      </c>
      <c r="O16">
        <v>14</v>
      </c>
      <c r="P16" t="s">
        <v>114</v>
      </c>
    </row>
    <row r="17" spans="1:17" x14ac:dyDescent="0.25">
      <c r="A17">
        <v>4219</v>
      </c>
      <c r="B17" t="s">
        <v>352</v>
      </c>
      <c r="C17" t="s">
        <v>331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115</v>
      </c>
    </row>
    <row r="18" spans="1:17" x14ac:dyDescent="0.25">
      <c r="A18">
        <v>4220</v>
      </c>
      <c r="B18" t="s">
        <v>353</v>
      </c>
      <c r="C18" t="s">
        <v>331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116</v>
      </c>
    </row>
    <row r="19" spans="1:17" x14ac:dyDescent="0.25">
      <c r="A19">
        <v>4221</v>
      </c>
      <c r="B19" t="s">
        <v>354</v>
      </c>
      <c r="C19" t="s">
        <v>331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757</v>
      </c>
    </row>
    <row r="20" spans="1:17" x14ac:dyDescent="0.25">
      <c r="A20">
        <v>4222</v>
      </c>
      <c r="B20" t="s">
        <v>355</v>
      </c>
      <c r="C20" t="s">
        <v>331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112</v>
      </c>
    </row>
    <row r="21" spans="1:17" x14ac:dyDescent="0.25">
      <c r="A21">
        <v>4223</v>
      </c>
      <c r="B21" t="s">
        <v>356</v>
      </c>
      <c r="C21" t="s">
        <v>331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53</v>
      </c>
      <c r="Q21" t="s">
        <v>759</v>
      </c>
    </row>
    <row r="22" spans="1:17" x14ac:dyDescent="0.25">
      <c r="A22">
        <v>4224</v>
      </c>
      <c r="B22" t="s">
        <v>357</v>
      </c>
      <c r="C22" t="s">
        <v>331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113</v>
      </c>
    </row>
    <row r="23" spans="1:17" x14ac:dyDescent="0.25">
      <c r="A23">
        <v>4225</v>
      </c>
      <c r="B23" t="s">
        <v>358</v>
      </c>
      <c r="C23" t="s">
        <v>331</v>
      </c>
      <c r="D23" t="s">
        <v>339</v>
      </c>
      <c r="E23">
        <f>_xlfn.XLOOKUP(arbgiveravg[[#This Row],[Sone]],arbeidsgiveravgift[Sone],arbeidsgiveravgift[Sats])</f>
        <v>0.106</v>
      </c>
      <c r="F23" t="s">
        <v>359</v>
      </c>
      <c r="O23">
        <v>21</v>
      </c>
    </row>
    <row r="24" spans="1:17" x14ac:dyDescent="0.25">
      <c r="A24">
        <v>4225</v>
      </c>
      <c r="B24" t="s">
        <v>358</v>
      </c>
      <c r="C24" t="s">
        <v>331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7" x14ac:dyDescent="0.25">
      <c r="A25">
        <v>4226</v>
      </c>
      <c r="B25" t="s">
        <v>360</v>
      </c>
      <c r="C25" t="s">
        <v>331</v>
      </c>
      <c r="D25" t="s">
        <v>339</v>
      </c>
      <c r="E25">
        <f>_xlfn.XLOOKUP(arbgiveravg[[#This Row],[Sone]],arbeidsgiveravgift[Sone],arbeidsgiveravgift[Sats])</f>
        <v>0.106</v>
      </c>
      <c r="O25">
        <v>23</v>
      </c>
    </row>
    <row r="26" spans="1:17" x14ac:dyDescent="0.25">
      <c r="A26">
        <v>4227</v>
      </c>
      <c r="B26" t="s">
        <v>361</v>
      </c>
      <c r="C26" t="s">
        <v>331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7" x14ac:dyDescent="0.25">
      <c r="A27">
        <v>4228</v>
      </c>
      <c r="B27" t="s">
        <v>362</v>
      </c>
      <c r="C27" t="s">
        <v>331</v>
      </c>
      <c r="D27" t="s">
        <v>339</v>
      </c>
      <c r="E27">
        <f>_xlfn.XLOOKUP(arbgiveravg[[#This Row],[Sone]],arbeidsgiveravgift[Sone],arbeidsgiveravgift[Sats])</f>
        <v>0.106</v>
      </c>
      <c r="O27">
        <v>25</v>
      </c>
    </row>
    <row r="28" spans="1:17" x14ac:dyDescent="0.25">
      <c r="A28">
        <v>3201</v>
      </c>
      <c r="B28" t="s">
        <v>363</v>
      </c>
      <c r="C28" t="s">
        <v>364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7" x14ac:dyDescent="0.25">
      <c r="A29">
        <v>3203</v>
      </c>
      <c r="B29" t="s">
        <v>365</v>
      </c>
      <c r="C29" t="s">
        <v>364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7" x14ac:dyDescent="0.25">
      <c r="A30">
        <v>3205</v>
      </c>
      <c r="B30" t="s">
        <v>366</v>
      </c>
      <c r="C30" t="s">
        <v>364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7" x14ac:dyDescent="0.25">
      <c r="A31">
        <v>3207</v>
      </c>
      <c r="B31" t="s">
        <v>367</v>
      </c>
      <c r="C31" t="s">
        <v>364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7" x14ac:dyDescent="0.25">
      <c r="A32">
        <v>3209</v>
      </c>
      <c r="B32" t="s">
        <v>368</v>
      </c>
      <c r="C32" t="s">
        <v>364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369</v>
      </c>
      <c r="C33" t="s">
        <v>364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370</v>
      </c>
      <c r="C34" t="s">
        <v>364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371</v>
      </c>
      <c r="C35" t="s">
        <v>364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372</v>
      </c>
      <c r="C36" t="s">
        <v>364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373</v>
      </c>
      <c r="C37" t="s">
        <v>364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374</v>
      </c>
      <c r="C38" t="s">
        <v>364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375</v>
      </c>
      <c r="C39" t="s">
        <v>364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376</v>
      </c>
      <c r="C40" t="s">
        <v>364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377</v>
      </c>
      <c r="C41" t="s">
        <v>364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378</v>
      </c>
      <c r="C42" t="s">
        <v>364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379</v>
      </c>
      <c r="C43" t="s">
        <v>364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380</v>
      </c>
      <c r="C44" t="s">
        <v>364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381</v>
      </c>
      <c r="C45" t="s">
        <v>364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382</v>
      </c>
      <c r="C46" t="s">
        <v>364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383</v>
      </c>
      <c r="C47" t="s">
        <v>364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384</v>
      </c>
      <c r="C48" t="s">
        <v>364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385</v>
      </c>
      <c r="C49" t="s">
        <v>386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387</v>
      </c>
      <c r="C50" t="s">
        <v>386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388</v>
      </c>
      <c r="C51" t="s">
        <v>386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389</v>
      </c>
      <c r="C52" t="s">
        <v>386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390</v>
      </c>
      <c r="C53" t="s">
        <v>386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391</v>
      </c>
      <c r="C54" t="s">
        <v>386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392</v>
      </c>
      <c r="C55" t="s">
        <v>386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393</v>
      </c>
      <c r="C56" t="s">
        <v>386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394</v>
      </c>
      <c r="C57" t="s">
        <v>386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395</v>
      </c>
      <c r="C58" t="s">
        <v>386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396</v>
      </c>
      <c r="C59" t="s">
        <v>386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397</v>
      </c>
      <c r="C60" t="s">
        <v>386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398</v>
      </c>
      <c r="C61" t="s">
        <v>386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399</v>
      </c>
      <c r="C62" t="s">
        <v>386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400</v>
      </c>
      <c r="C63" t="s">
        <v>386</v>
      </c>
      <c r="D63" t="s">
        <v>339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401</v>
      </c>
      <c r="C64" t="s">
        <v>386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402</v>
      </c>
      <c r="C65" t="s">
        <v>386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403</v>
      </c>
      <c r="C66" t="s">
        <v>386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404</v>
      </c>
      <c r="C67" t="s">
        <v>405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406</v>
      </c>
      <c r="C68" t="s">
        <v>405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407</v>
      </c>
      <c r="C69" t="s">
        <v>405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408</v>
      </c>
      <c r="C70" t="s">
        <v>405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409</v>
      </c>
      <c r="C71" t="s">
        <v>405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410</v>
      </c>
      <c r="C72" t="s">
        <v>405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411</v>
      </c>
      <c r="C73" t="s">
        <v>405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412</v>
      </c>
      <c r="C74" t="s">
        <v>405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413</v>
      </c>
      <c r="C75" t="s">
        <v>405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414</v>
      </c>
      <c r="C76" t="s">
        <v>405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415</v>
      </c>
      <c r="C77" t="s">
        <v>405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416</v>
      </c>
      <c r="C78" t="s">
        <v>405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417</v>
      </c>
      <c r="C79" t="s">
        <v>405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418</v>
      </c>
      <c r="C80" t="s">
        <v>405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419</v>
      </c>
      <c r="C81" t="s">
        <v>405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420</v>
      </c>
      <c r="C82" t="s">
        <v>405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421</v>
      </c>
      <c r="C83" t="s">
        <v>405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422</v>
      </c>
      <c r="C84" t="s">
        <v>405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423</v>
      </c>
      <c r="C85" t="s">
        <v>51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424</v>
      </c>
      <c r="C86" t="s">
        <v>51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425</v>
      </c>
      <c r="C87" t="s">
        <v>51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426</v>
      </c>
      <c r="C88" t="s">
        <v>51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427</v>
      </c>
      <c r="C89" t="s">
        <v>51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428</v>
      </c>
      <c r="C90" t="s">
        <v>51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429</v>
      </c>
      <c r="C91" t="s">
        <v>51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430</v>
      </c>
      <c r="C92" t="s">
        <v>51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431</v>
      </c>
      <c r="C93" t="s">
        <v>51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432</v>
      </c>
      <c r="C94" t="s">
        <v>51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433</v>
      </c>
      <c r="C95" t="s">
        <v>51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434</v>
      </c>
      <c r="C96" t="s">
        <v>51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435</v>
      </c>
      <c r="C97" t="s">
        <v>51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436</v>
      </c>
      <c r="C98" t="s">
        <v>51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437</v>
      </c>
      <c r="C99" t="s">
        <v>51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438</v>
      </c>
      <c r="C100" t="s">
        <v>51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439</v>
      </c>
      <c r="C101" t="s">
        <v>51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440</v>
      </c>
      <c r="C102" t="s">
        <v>51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441</v>
      </c>
      <c r="C103" t="s">
        <v>51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442</v>
      </c>
      <c r="C104" t="s">
        <v>51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443</v>
      </c>
      <c r="C105" t="s">
        <v>51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444</v>
      </c>
      <c r="C106" t="s">
        <v>51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445</v>
      </c>
      <c r="C107" t="s">
        <v>51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446</v>
      </c>
      <c r="C108" t="s">
        <v>51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447</v>
      </c>
      <c r="C109" t="s">
        <v>51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448</v>
      </c>
      <c r="C110" t="s">
        <v>51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449</v>
      </c>
      <c r="C111" t="s">
        <v>51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450</v>
      </c>
      <c r="C112" t="s">
        <v>51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451</v>
      </c>
      <c r="C113" t="s">
        <v>51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452</v>
      </c>
      <c r="C114" t="s">
        <v>51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453</v>
      </c>
      <c r="C115" t="s">
        <v>51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454</v>
      </c>
      <c r="C116" t="s">
        <v>51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455</v>
      </c>
      <c r="C117" t="s">
        <v>51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456</v>
      </c>
      <c r="C118" t="s">
        <v>51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457</v>
      </c>
      <c r="C119" t="s">
        <v>51</v>
      </c>
      <c r="D119" t="s">
        <v>339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458</v>
      </c>
      <c r="C120" t="s">
        <v>51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459</v>
      </c>
      <c r="C121" t="s">
        <v>51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50</v>
      </c>
      <c r="C122" t="s">
        <v>51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460</v>
      </c>
      <c r="C123" t="s">
        <v>51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461</v>
      </c>
      <c r="C124" t="s">
        <v>51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462</v>
      </c>
      <c r="C125" t="s">
        <v>51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463</v>
      </c>
      <c r="C126" t="s">
        <v>51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464</v>
      </c>
      <c r="C127" t="s">
        <v>51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465</v>
      </c>
      <c r="C128" t="s">
        <v>51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466</v>
      </c>
      <c r="C129" t="s">
        <v>51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467</v>
      </c>
      <c r="C130" t="s">
        <v>51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468</v>
      </c>
      <c r="C131" t="s">
        <v>469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470</v>
      </c>
      <c r="C132" t="s">
        <v>469</v>
      </c>
      <c r="D132">
        <v>2</v>
      </c>
      <c r="E132">
        <f>_xlfn.XLOOKUP(arbgiveravg[[#This Row],[Sone]],arbeidsgiveravgift[Sone],arbeidsgiveravgift[Sats])</f>
        <v>0.106</v>
      </c>
      <c r="F132" t="s">
        <v>471</v>
      </c>
    </row>
    <row r="133" spans="1:6" x14ac:dyDescent="0.25">
      <c r="A133">
        <v>1506</v>
      </c>
      <c r="B133" t="s">
        <v>470</v>
      </c>
      <c r="C133" t="s">
        <v>469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472</v>
      </c>
      <c r="C134" t="s">
        <v>469</v>
      </c>
      <c r="D134">
        <v>2</v>
      </c>
      <c r="E134">
        <f>_xlfn.XLOOKUP(arbgiveravg[[#This Row],[Sone]],arbeidsgiveravgift[Sone],arbeidsgiveravgift[Sats])</f>
        <v>0.106</v>
      </c>
      <c r="F134" t="s">
        <v>473</v>
      </c>
    </row>
    <row r="135" spans="1:6" x14ac:dyDescent="0.25">
      <c r="A135">
        <v>1508</v>
      </c>
      <c r="B135" t="s">
        <v>472</v>
      </c>
      <c r="C135" t="s">
        <v>469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474</v>
      </c>
      <c r="C136" t="s">
        <v>469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475</v>
      </c>
      <c r="C137" t="s">
        <v>469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476</v>
      </c>
      <c r="C138" t="s">
        <v>469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477</v>
      </c>
      <c r="C139" t="s">
        <v>469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478</v>
      </c>
      <c r="C140" t="s">
        <v>469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479</v>
      </c>
      <c r="C141" t="s">
        <v>469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480</v>
      </c>
      <c r="C142" t="s">
        <v>469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481</v>
      </c>
      <c r="C143" t="s">
        <v>469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482</v>
      </c>
      <c r="C144" t="s">
        <v>469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483</v>
      </c>
      <c r="C145" t="s">
        <v>469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484</v>
      </c>
      <c r="C146" t="s">
        <v>469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485</v>
      </c>
      <c r="C147" t="s">
        <v>469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486</v>
      </c>
      <c r="C148" t="s">
        <v>469</v>
      </c>
      <c r="D148" t="s">
        <v>339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487</v>
      </c>
      <c r="C149" t="s">
        <v>469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488</v>
      </c>
      <c r="C150" t="s">
        <v>469</v>
      </c>
      <c r="D150" t="s">
        <v>339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489</v>
      </c>
      <c r="C151" t="s">
        <v>469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490</v>
      </c>
      <c r="C152" t="s">
        <v>469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491</v>
      </c>
      <c r="C153" t="s">
        <v>469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492</v>
      </c>
      <c r="C154" t="s">
        <v>469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493</v>
      </c>
      <c r="C155" t="s">
        <v>469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494</v>
      </c>
      <c r="C156" t="s">
        <v>469</v>
      </c>
      <c r="D156">
        <v>2</v>
      </c>
      <c r="E156">
        <f>_xlfn.XLOOKUP(arbgiveravg[[#This Row],[Sone]],arbeidsgiveravgift[Sone],arbeidsgiveravgift[Sats])</f>
        <v>0.106</v>
      </c>
      <c r="F156" t="s">
        <v>495</v>
      </c>
    </row>
    <row r="157" spans="1:6" x14ac:dyDescent="0.25">
      <c r="A157">
        <v>1577</v>
      </c>
      <c r="B157" t="s">
        <v>494</v>
      </c>
      <c r="C157" t="s">
        <v>469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496</v>
      </c>
      <c r="C158" t="s">
        <v>469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497</v>
      </c>
      <c r="C159" t="s">
        <v>469</v>
      </c>
      <c r="D159" t="s">
        <v>339</v>
      </c>
      <c r="E159">
        <f>_xlfn.XLOOKUP(arbgiveravg[[#This Row],[Sone]],arbeidsgiveravgift[Sone],arbeidsgiveravgift[Sats])</f>
        <v>0.106</v>
      </c>
      <c r="F159" t="s">
        <v>498</v>
      </c>
    </row>
    <row r="160" spans="1:6" x14ac:dyDescent="0.25">
      <c r="A160">
        <v>1579</v>
      </c>
      <c r="B160" t="s">
        <v>497</v>
      </c>
      <c r="C160" t="s">
        <v>469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499</v>
      </c>
      <c r="C161" t="s">
        <v>469</v>
      </c>
      <c r="D161" t="s">
        <v>339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500</v>
      </c>
      <c r="C162" t="s">
        <v>501</v>
      </c>
      <c r="D162" t="s">
        <v>344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502</v>
      </c>
      <c r="C163" t="s">
        <v>501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503</v>
      </c>
      <c r="C164" t="s">
        <v>501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504</v>
      </c>
      <c r="C165" t="s">
        <v>501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505</v>
      </c>
      <c r="C166" t="s">
        <v>501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506</v>
      </c>
      <c r="C167" t="s">
        <v>501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507</v>
      </c>
      <c r="C168" t="s">
        <v>501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508</v>
      </c>
      <c r="C169" t="s">
        <v>501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509</v>
      </c>
      <c r="C170" t="s">
        <v>501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510</v>
      </c>
      <c r="C171" t="s">
        <v>501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511</v>
      </c>
      <c r="C172" t="s">
        <v>501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512</v>
      </c>
      <c r="C173" t="s">
        <v>501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513</v>
      </c>
      <c r="C174" t="s">
        <v>501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514</v>
      </c>
      <c r="C175" t="s">
        <v>501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515</v>
      </c>
      <c r="C176" t="s">
        <v>501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516</v>
      </c>
      <c r="C177" t="s">
        <v>501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517</v>
      </c>
      <c r="C178" t="s">
        <v>501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518</v>
      </c>
      <c r="C179" t="s">
        <v>501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519</v>
      </c>
      <c r="C180" t="s">
        <v>501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520</v>
      </c>
      <c r="C181" t="s">
        <v>501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521</v>
      </c>
      <c r="C182" t="s">
        <v>501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522</v>
      </c>
      <c r="C183" t="s">
        <v>501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523</v>
      </c>
      <c r="C184" t="s">
        <v>501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524</v>
      </c>
      <c r="C185" t="s">
        <v>501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525</v>
      </c>
      <c r="C186" t="s">
        <v>501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526</v>
      </c>
      <c r="C187" t="s">
        <v>501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527</v>
      </c>
      <c r="C188" t="s">
        <v>501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528</v>
      </c>
      <c r="C189" t="s">
        <v>501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529</v>
      </c>
      <c r="C190" t="s">
        <v>501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530</v>
      </c>
      <c r="C191" t="s">
        <v>501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531</v>
      </c>
      <c r="C192" t="s">
        <v>501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532</v>
      </c>
      <c r="C193" t="s">
        <v>501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533</v>
      </c>
      <c r="C194" t="s">
        <v>501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534</v>
      </c>
      <c r="C195" t="s">
        <v>501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535</v>
      </c>
      <c r="C196" t="s">
        <v>501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536</v>
      </c>
      <c r="C197" t="s">
        <v>501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537</v>
      </c>
      <c r="C198" t="s">
        <v>501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538</v>
      </c>
      <c r="C199" t="s">
        <v>501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539</v>
      </c>
      <c r="C200" t="s">
        <v>501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540</v>
      </c>
      <c r="C201" t="s">
        <v>501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541</v>
      </c>
      <c r="C202" t="s">
        <v>501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542</v>
      </c>
      <c r="C203" t="s">
        <v>542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543</v>
      </c>
      <c r="C204" t="s">
        <v>544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545</v>
      </c>
      <c r="C205" t="s">
        <v>544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546</v>
      </c>
      <c r="C206" t="s">
        <v>544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547</v>
      </c>
      <c r="C207" t="s">
        <v>544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548</v>
      </c>
      <c r="C208" t="s">
        <v>544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549</v>
      </c>
      <c r="C209" t="s">
        <v>544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550</v>
      </c>
      <c r="C210" t="s">
        <v>544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551</v>
      </c>
      <c r="C211" t="s">
        <v>544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552</v>
      </c>
      <c r="C212" t="s">
        <v>544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553</v>
      </c>
      <c r="C213" t="s">
        <v>544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554</v>
      </c>
      <c r="C214" t="s">
        <v>544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555</v>
      </c>
      <c r="C215" t="s">
        <v>544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556</v>
      </c>
      <c r="C216" t="s">
        <v>544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557</v>
      </c>
      <c r="C217" t="s">
        <v>544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558</v>
      </c>
      <c r="C218" t="s">
        <v>544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559</v>
      </c>
      <c r="C219" t="s">
        <v>544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560</v>
      </c>
      <c r="C220" t="s">
        <v>544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561</v>
      </c>
      <c r="C221" t="s">
        <v>544</v>
      </c>
      <c r="D221" t="s">
        <v>339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562</v>
      </c>
      <c r="C222" t="s">
        <v>544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563</v>
      </c>
      <c r="C223" t="s">
        <v>544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564</v>
      </c>
      <c r="C224" t="s">
        <v>544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565</v>
      </c>
      <c r="C225" t="s">
        <v>544</v>
      </c>
      <c r="D225" t="s">
        <v>339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566</v>
      </c>
      <c r="C226" t="s">
        <v>544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567</v>
      </c>
      <c r="C227" t="s">
        <v>568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569</v>
      </c>
      <c r="C228" t="s">
        <v>568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570</v>
      </c>
      <c r="C229" t="s">
        <v>568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571</v>
      </c>
      <c r="C230" t="s">
        <v>568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572</v>
      </c>
      <c r="C231" t="s">
        <v>568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573</v>
      </c>
      <c r="C232" t="s">
        <v>568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574</v>
      </c>
      <c r="C233" t="s">
        <v>568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575</v>
      </c>
      <c r="C234" t="s">
        <v>568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576</v>
      </c>
      <c r="C235" t="s">
        <v>568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577</v>
      </c>
      <c r="C236" t="s">
        <v>568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578</v>
      </c>
      <c r="C237" t="s">
        <v>568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579</v>
      </c>
      <c r="C238" t="s">
        <v>568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580</v>
      </c>
      <c r="C239" t="s">
        <v>568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581</v>
      </c>
      <c r="C240" t="s">
        <v>568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582</v>
      </c>
      <c r="C241" t="s">
        <v>568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583</v>
      </c>
      <c r="C242" t="s">
        <v>568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584</v>
      </c>
      <c r="C243" t="s">
        <v>568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585</v>
      </c>
      <c r="C244" t="s">
        <v>586</v>
      </c>
      <c r="D244" t="s">
        <v>344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587</v>
      </c>
      <c r="C245" t="s">
        <v>586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588</v>
      </c>
      <c r="C246" t="s">
        <v>586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589</v>
      </c>
      <c r="C247" t="s">
        <v>586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590</v>
      </c>
      <c r="C248" t="s">
        <v>586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591</v>
      </c>
      <c r="C249" t="s">
        <v>586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592</v>
      </c>
      <c r="C250" t="s">
        <v>586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593</v>
      </c>
      <c r="C251" t="s">
        <v>586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594</v>
      </c>
      <c r="C252" t="s">
        <v>586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595</v>
      </c>
      <c r="C253" t="s">
        <v>586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596</v>
      </c>
      <c r="C254" t="s">
        <v>586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597</v>
      </c>
      <c r="C255" t="s">
        <v>586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598</v>
      </c>
      <c r="C256" t="s">
        <v>586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599</v>
      </c>
      <c r="C257" t="s">
        <v>586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600</v>
      </c>
      <c r="C258" t="s">
        <v>586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601</v>
      </c>
      <c r="C259" t="s">
        <v>586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602</v>
      </c>
      <c r="C260" t="s">
        <v>586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603</v>
      </c>
      <c r="C261" t="s">
        <v>586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604</v>
      </c>
      <c r="C262" t="s">
        <v>586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605</v>
      </c>
      <c r="C263" t="s">
        <v>586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606</v>
      </c>
      <c r="C264" t="s">
        <v>586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607</v>
      </c>
      <c r="C265" t="s">
        <v>608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609</v>
      </c>
      <c r="C266" t="s">
        <v>608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609</v>
      </c>
      <c r="C267" t="s">
        <v>608</v>
      </c>
      <c r="D267">
        <v>2</v>
      </c>
      <c r="E267">
        <f>_xlfn.XLOOKUP(arbgiveravg[[#This Row],[Sone]],arbeidsgiveravgift[Sone],arbeidsgiveravgift[Sats])</f>
        <v>0.106</v>
      </c>
      <c r="F267" t="s">
        <v>610</v>
      </c>
    </row>
    <row r="268" spans="1:6" x14ac:dyDescent="0.25">
      <c r="A268">
        <v>5007</v>
      </c>
      <c r="B268" t="s">
        <v>611</v>
      </c>
      <c r="C268" t="s">
        <v>608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612</v>
      </c>
      <c r="C269" t="s">
        <v>608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613</v>
      </c>
      <c r="C270" t="s">
        <v>608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614</v>
      </c>
      <c r="C271" t="s">
        <v>608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615</v>
      </c>
      <c r="C272" t="s">
        <v>608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616</v>
      </c>
      <c r="C273" t="s">
        <v>608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617</v>
      </c>
      <c r="C274" t="s">
        <v>608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618</v>
      </c>
      <c r="C275" t="s">
        <v>608</v>
      </c>
      <c r="D275" t="s">
        <v>339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619</v>
      </c>
      <c r="C276" t="s">
        <v>608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620</v>
      </c>
      <c r="C277" t="s">
        <v>608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621</v>
      </c>
      <c r="C278" t="s">
        <v>608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622</v>
      </c>
      <c r="C279" t="s">
        <v>608</v>
      </c>
      <c r="D279" t="s">
        <v>339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623</v>
      </c>
      <c r="C280" t="s">
        <v>608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624</v>
      </c>
      <c r="C281" t="s">
        <v>608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625</v>
      </c>
      <c r="C282" t="s">
        <v>608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626</v>
      </c>
      <c r="C283" t="s">
        <v>608</v>
      </c>
      <c r="D283" t="s">
        <v>339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627</v>
      </c>
      <c r="C284" t="s">
        <v>608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628</v>
      </c>
      <c r="C285" t="s">
        <v>608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629</v>
      </c>
      <c r="C286" t="s">
        <v>608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630</v>
      </c>
      <c r="C287" t="s">
        <v>608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631</v>
      </c>
      <c r="C288" t="s">
        <v>608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632</v>
      </c>
      <c r="C289" t="s">
        <v>608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633</v>
      </c>
      <c r="C290" t="s">
        <v>608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634</v>
      </c>
      <c r="C291" t="s">
        <v>608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635</v>
      </c>
      <c r="C292" t="s">
        <v>608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636</v>
      </c>
      <c r="C293" t="s">
        <v>608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637</v>
      </c>
      <c r="C294" t="s">
        <v>608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638</v>
      </c>
      <c r="C295" t="s">
        <v>608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639</v>
      </c>
      <c r="C296" t="s">
        <v>608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640</v>
      </c>
      <c r="C297" t="s">
        <v>608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641</v>
      </c>
      <c r="C298" t="s">
        <v>608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642</v>
      </c>
      <c r="C299" t="s">
        <v>608</v>
      </c>
      <c r="D299">
        <v>3</v>
      </c>
      <c r="E299">
        <f>_xlfn.XLOOKUP(arbgiveravg[[#This Row],[Sone]],arbeidsgiveravgift[Sone],arbeidsgiveravgift[Sats])</f>
        <v>6.4000000000000001E-2</v>
      </c>
      <c r="F299" t="s">
        <v>643</v>
      </c>
    </row>
    <row r="300" spans="1:6" x14ac:dyDescent="0.25">
      <c r="A300">
        <v>5057</v>
      </c>
      <c r="B300" t="s">
        <v>642</v>
      </c>
      <c r="C300" t="s">
        <v>608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644</v>
      </c>
      <c r="C301" t="s">
        <v>608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645</v>
      </c>
      <c r="C302" t="s">
        <v>608</v>
      </c>
      <c r="D302">
        <v>2</v>
      </c>
      <c r="E302">
        <f>_xlfn.XLOOKUP(arbgiveravg[[#This Row],[Sone]],arbeidsgiveravgift[Sone],arbeidsgiveravgift[Sats])</f>
        <v>0.106</v>
      </c>
      <c r="F302" t="s">
        <v>646</v>
      </c>
    </row>
    <row r="303" spans="1:6" x14ac:dyDescent="0.25">
      <c r="A303">
        <v>5059</v>
      </c>
      <c r="B303" t="s">
        <v>645</v>
      </c>
      <c r="C303" t="s">
        <v>608</v>
      </c>
      <c r="D303">
        <v>3</v>
      </c>
      <c r="E303">
        <f>_xlfn.XLOOKUP(arbgiveravg[[#This Row],[Sone]],arbeidsgiveravgift[Sone],arbeidsgiveravgift[Sats])</f>
        <v>6.4000000000000001E-2</v>
      </c>
      <c r="F303" t="s">
        <v>647</v>
      </c>
    </row>
    <row r="304" spans="1:6" x14ac:dyDescent="0.25">
      <c r="A304">
        <v>5059</v>
      </c>
      <c r="B304" t="s">
        <v>645</v>
      </c>
      <c r="C304" t="s">
        <v>608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648</v>
      </c>
      <c r="C305" t="s">
        <v>608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649</v>
      </c>
      <c r="C306" t="s">
        <v>608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650</v>
      </c>
      <c r="C307" t="s">
        <v>651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652</v>
      </c>
      <c r="C308" t="s">
        <v>651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653</v>
      </c>
      <c r="C309" t="s">
        <v>651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654</v>
      </c>
      <c r="C310" t="s">
        <v>651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655</v>
      </c>
      <c r="C311" t="s">
        <v>651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656</v>
      </c>
      <c r="C312" t="s">
        <v>651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657</v>
      </c>
      <c r="C313" t="s">
        <v>658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659</v>
      </c>
      <c r="C314" t="s">
        <v>658</v>
      </c>
      <c r="D314" t="s">
        <v>339</v>
      </c>
      <c r="E314">
        <f>_xlfn.XLOOKUP(arbgiveravg[[#This Row],[Sone]],arbeidsgiveravgift[Sone],arbeidsgiveravgift[Sats])</f>
        <v>0.106</v>
      </c>
      <c r="F314" t="s">
        <v>660</v>
      </c>
    </row>
    <row r="315" spans="1:6" x14ac:dyDescent="0.25">
      <c r="A315">
        <v>4602</v>
      </c>
      <c r="B315" t="s">
        <v>659</v>
      </c>
      <c r="C315" t="s">
        <v>658</v>
      </c>
      <c r="D315">
        <v>2</v>
      </c>
      <c r="E315">
        <f>_xlfn.XLOOKUP(arbgiveravg[[#This Row],[Sone]],arbeidsgiveravgift[Sone],arbeidsgiveravgift[Sats])</f>
        <v>0.106</v>
      </c>
      <c r="F315" t="s">
        <v>661</v>
      </c>
    </row>
    <row r="316" spans="1:6" x14ac:dyDescent="0.25">
      <c r="A316">
        <v>4611</v>
      </c>
      <c r="B316" t="s">
        <v>662</v>
      </c>
      <c r="C316" t="s">
        <v>658</v>
      </c>
      <c r="D316" t="s">
        <v>339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663</v>
      </c>
      <c r="C317" t="s">
        <v>658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664</v>
      </c>
      <c r="C318" t="s">
        <v>658</v>
      </c>
      <c r="D318" t="s">
        <v>339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665</v>
      </c>
      <c r="C319" t="s">
        <v>658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666</v>
      </c>
      <c r="C320" t="s">
        <v>658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667</v>
      </c>
      <c r="C321" t="s">
        <v>658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668</v>
      </c>
      <c r="C322" t="s">
        <v>658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669</v>
      </c>
      <c r="C323" t="s">
        <v>658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670</v>
      </c>
      <c r="C324" t="s">
        <v>658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671</v>
      </c>
      <c r="C325" t="s">
        <v>658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672</v>
      </c>
      <c r="C326" t="s">
        <v>658</v>
      </c>
      <c r="D326">
        <v>2</v>
      </c>
      <c r="E326">
        <f>_xlfn.XLOOKUP(arbgiveravg[[#This Row],[Sone]],arbeidsgiveravgift[Sone],arbeidsgiveravgift[Sats])</f>
        <v>0.106</v>
      </c>
      <c r="F326" t="s">
        <v>673</v>
      </c>
    </row>
    <row r="327" spans="1:6" x14ac:dyDescent="0.25">
      <c r="A327">
        <v>4621</v>
      </c>
      <c r="B327" t="s">
        <v>672</v>
      </c>
      <c r="C327" t="s">
        <v>658</v>
      </c>
      <c r="D327">
        <v>1</v>
      </c>
      <c r="E327">
        <f>_xlfn.XLOOKUP(arbgiveravg[[#This Row],[Sone]],arbeidsgiveravgift[Sone],arbeidsgiveravgift[Sats])</f>
        <v>0.14099999999999999</v>
      </c>
      <c r="F327" t="s">
        <v>674</v>
      </c>
    </row>
    <row r="328" spans="1:6" x14ac:dyDescent="0.25">
      <c r="A328">
        <v>4622</v>
      </c>
      <c r="B328" t="s">
        <v>675</v>
      </c>
      <c r="C328" t="s">
        <v>658</v>
      </c>
      <c r="D328" t="s">
        <v>339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676</v>
      </c>
      <c r="C329" t="s">
        <v>658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677</v>
      </c>
      <c r="C330" t="s">
        <v>658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678</v>
      </c>
      <c r="C331" t="s">
        <v>658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679</v>
      </c>
      <c r="C332" t="s">
        <v>658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680</v>
      </c>
      <c r="C333" t="s">
        <v>658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681</v>
      </c>
      <c r="C334" t="s">
        <v>658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682</v>
      </c>
      <c r="C335" t="s">
        <v>658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683</v>
      </c>
      <c r="C336" t="s">
        <v>658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684</v>
      </c>
      <c r="C337" t="s">
        <v>658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685</v>
      </c>
      <c r="C338" t="s">
        <v>658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686</v>
      </c>
      <c r="C339" t="s">
        <v>658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687</v>
      </c>
      <c r="C340" t="s">
        <v>658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688</v>
      </c>
      <c r="C341" t="s">
        <v>658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689</v>
      </c>
      <c r="C342" t="s">
        <v>658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690</v>
      </c>
      <c r="C343" t="s">
        <v>658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691</v>
      </c>
      <c r="C344" t="s">
        <v>658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692</v>
      </c>
      <c r="C345" t="s">
        <v>658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693</v>
      </c>
      <c r="C346" t="s">
        <v>658</v>
      </c>
      <c r="D346">
        <v>2</v>
      </c>
      <c r="E346">
        <f>_xlfn.XLOOKUP(arbgiveravg[[#This Row],[Sone]],arbeidsgiveravgift[Sone],arbeidsgiveravgift[Sats])</f>
        <v>0.106</v>
      </c>
      <c r="F346" t="s">
        <v>694</v>
      </c>
    </row>
    <row r="347" spans="1:6" x14ac:dyDescent="0.25">
      <c r="A347">
        <v>4640</v>
      </c>
      <c r="B347" t="s">
        <v>693</v>
      </c>
      <c r="C347" t="s">
        <v>658</v>
      </c>
      <c r="D347" t="s">
        <v>339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695</v>
      </c>
      <c r="C348" t="s">
        <v>658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696</v>
      </c>
      <c r="C349" t="s">
        <v>658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697</v>
      </c>
      <c r="C350" t="s">
        <v>658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698</v>
      </c>
      <c r="C351" t="s">
        <v>658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699</v>
      </c>
      <c r="C352" t="s">
        <v>658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700</v>
      </c>
      <c r="C353" t="s">
        <v>658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701</v>
      </c>
      <c r="C354" t="s">
        <v>658</v>
      </c>
      <c r="D354" t="s">
        <v>339</v>
      </c>
      <c r="E354">
        <f>_xlfn.XLOOKUP(arbgiveravg[[#This Row],[Sone]],arbeidsgiveravgift[Sone],arbeidsgiveravgift[Sats])</f>
        <v>0.106</v>
      </c>
      <c r="F354" t="s">
        <v>702</v>
      </c>
    </row>
    <row r="355" spans="1:6" x14ac:dyDescent="0.25">
      <c r="A355">
        <v>4647</v>
      </c>
      <c r="B355" t="s">
        <v>701</v>
      </c>
      <c r="C355" t="s">
        <v>658</v>
      </c>
      <c r="D355">
        <v>2</v>
      </c>
      <c r="E355">
        <f>_xlfn.XLOOKUP(arbgiveravg[[#This Row],[Sone]],arbeidsgiveravgift[Sone],arbeidsgiveravgift[Sats])</f>
        <v>0.106</v>
      </c>
      <c r="F355" t="s">
        <v>703</v>
      </c>
    </row>
    <row r="356" spans="1:6" x14ac:dyDescent="0.25">
      <c r="A356">
        <v>4648</v>
      </c>
      <c r="B356" t="s">
        <v>704</v>
      </c>
      <c r="C356" t="s">
        <v>658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705</v>
      </c>
      <c r="C357" t="s">
        <v>658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706</v>
      </c>
      <c r="C358" t="s">
        <v>658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707</v>
      </c>
      <c r="C359" t="s">
        <v>658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708</v>
      </c>
      <c r="C360" t="s">
        <v>709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710</v>
      </c>
      <c r="C361" t="s">
        <v>709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711</v>
      </c>
      <c r="C362" t="s">
        <v>709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712</v>
      </c>
      <c r="C363" t="s">
        <v>709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713</v>
      </c>
      <c r="C364" t="s">
        <v>709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714</v>
      </c>
      <c r="C365" t="s">
        <v>709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715</v>
      </c>
      <c r="C366" t="s">
        <v>709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716</v>
      </c>
      <c r="C367" t="s">
        <v>709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717</v>
      </c>
      <c r="C368" t="s">
        <v>709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718</v>
      </c>
      <c r="C369" t="s">
        <v>709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719</v>
      </c>
      <c r="C370" t="s">
        <v>709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720</v>
      </c>
      <c r="C371" t="s">
        <v>709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500"/>
  <sheetViews>
    <sheetView showGridLines="0" zoomScale="90" zoomScaleNormal="90" workbookViewId="0">
      <pane xSplit="8" ySplit="2" topLeftCell="L3" activePane="bottomRight" state="frozen"/>
      <selection pane="topRight" activeCell="J68" sqref="J68"/>
      <selection pane="bottomLeft" activeCell="J68" sqref="J68"/>
      <selection pane="bottomRight" activeCell="H7" sqref="H7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1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05" t="s">
        <v>767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R1">
        <f>MAXA(BasilRadata[År])</f>
        <v>2025</v>
      </c>
      <c r="S1" t="s">
        <v>780</v>
      </c>
    </row>
    <row r="2" spans="1:19" ht="36" customHeight="1" x14ac:dyDescent="0.25">
      <c r="A2" s="79" t="s">
        <v>37</v>
      </c>
      <c r="B2" s="79" t="s">
        <v>38</v>
      </c>
      <c r="C2" s="79" t="s">
        <v>39</v>
      </c>
      <c r="D2" s="79" t="s">
        <v>40</v>
      </c>
      <c r="E2" s="79" t="s">
        <v>41</v>
      </c>
      <c r="F2" s="79" t="s">
        <v>42</v>
      </c>
      <c r="G2" s="79" t="s">
        <v>43</v>
      </c>
      <c r="H2" s="79" t="s">
        <v>44</v>
      </c>
      <c r="I2" s="79" t="s">
        <v>45</v>
      </c>
      <c r="J2" s="79" t="s">
        <v>46</v>
      </c>
      <c r="K2" s="79" t="s">
        <v>47</v>
      </c>
      <c r="L2" s="79" t="s">
        <v>48</v>
      </c>
      <c r="M2" s="80" t="s">
        <v>49</v>
      </c>
      <c r="N2" s="81" t="s">
        <v>768</v>
      </c>
      <c r="O2" s="81" t="s">
        <v>762</v>
      </c>
    </row>
    <row r="3" spans="1:19" x14ac:dyDescent="0.25">
      <c r="A3" s="78">
        <v>2024</v>
      </c>
      <c r="B3" s="78" t="s">
        <v>1042</v>
      </c>
      <c r="C3" s="78" t="s">
        <v>499</v>
      </c>
      <c r="D3" s="78" t="s">
        <v>1043</v>
      </c>
      <c r="E3" s="78" t="s">
        <v>801</v>
      </c>
      <c r="F3" s="78" t="s">
        <v>1044</v>
      </c>
      <c r="G3" s="78" t="s">
        <v>469</v>
      </c>
      <c r="H3" s="78" t="s">
        <v>845</v>
      </c>
      <c r="I3" s="78" t="s">
        <v>1045</v>
      </c>
      <c r="J3" s="78" t="s">
        <v>948</v>
      </c>
      <c r="K3" s="78" t="s">
        <v>52</v>
      </c>
      <c r="L3" s="78" t="s">
        <v>1046</v>
      </c>
      <c r="M3" s="78">
        <v>0</v>
      </c>
      <c r="N3" s="78">
        <v>23.466699999999999</v>
      </c>
      <c r="O3" s="78">
        <v>49.288899999999998</v>
      </c>
      <c r="Q3" s="128"/>
    </row>
    <row r="4" spans="1:19" x14ac:dyDescent="0.25">
      <c r="A4" s="78">
        <v>2024</v>
      </c>
      <c r="B4" s="78" t="s">
        <v>1042</v>
      </c>
      <c r="C4" s="78" t="s">
        <v>499</v>
      </c>
      <c r="D4" s="78" t="s">
        <v>1043</v>
      </c>
      <c r="E4" s="78" t="s">
        <v>801</v>
      </c>
      <c r="F4" s="78" t="s">
        <v>1044</v>
      </c>
      <c r="G4" s="78" t="s">
        <v>469</v>
      </c>
      <c r="H4" s="78" t="s">
        <v>817</v>
      </c>
      <c r="I4" s="78" t="s">
        <v>1047</v>
      </c>
      <c r="J4" s="78" t="s">
        <v>1048</v>
      </c>
      <c r="K4" s="78" t="s">
        <v>52</v>
      </c>
      <c r="L4" s="78" t="s">
        <v>1046</v>
      </c>
      <c r="M4" s="78">
        <v>0</v>
      </c>
      <c r="N4" s="78">
        <v>18.288900000000002</v>
      </c>
      <c r="O4" s="78">
        <v>32</v>
      </c>
    </row>
    <row r="5" spans="1:19" x14ac:dyDescent="0.25">
      <c r="A5" s="78">
        <v>2024</v>
      </c>
      <c r="B5" s="78" t="s">
        <v>1042</v>
      </c>
      <c r="C5" s="78" t="s">
        <v>499</v>
      </c>
      <c r="D5" s="78" t="s">
        <v>1043</v>
      </c>
      <c r="E5" s="78" t="s">
        <v>801</v>
      </c>
      <c r="F5" s="78" t="s">
        <v>1044</v>
      </c>
      <c r="G5" s="78" t="s">
        <v>469</v>
      </c>
      <c r="H5" s="78" t="s">
        <v>853</v>
      </c>
      <c r="I5" s="78" t="s">
        <v>1049</v>
      </c>
      <c r="J5" s="78" t="s">
        <v>1050</v>
      </c>
      <c r="K5" s="78" t="s">
        <v>52</v>
      </c>
      <c r="L5" s="78" t="s">
        <v>1046</v>
      </c>
      <c r="M5" s="78">
        <v>0</v>
      </c>
      <c r="N5" s="78">
        <v>7</v>
      </c>
      <c r="O5" s="78">
        <v>7</v>
      </c>
    </row>
    <row r="6" spans="1:19" x14ac:dyDescent="0.25">
      <c r="A6" s="78">
        <v>2024</v>
      </c>
      <c r="B6" s="78" t="s">
        <v>1042</v>
      </c>
      <c r="C6" s="78" t="s">
        <v>499</v>
      </c>
      <c r="D6" s="78" t="s">
        <v>1043</v>
      </c>
      <c r="E6" s="78" t="s">
        <v>801</v>
      </c>
      <c r="F6" s="78" t="s">
        <v>1044</v>
      </c>
      <c r="G6" s="78" t="s">
        <v>469</v>
      </c>
      <c r="H6" s="78" t="s">
        <v>849</v>
      </c>
      <c r="I6" s="78" t="s">
        <v>1051</v>
      </c>
      <c r="J6" s="78" t="s">
        <v>1052</v>
      </c>
      <c r="K6" s="78" t="s">
        <v>52</v>
      </c>
      <c r="L6" s="78" t="s">
        <v>1046</v>
      </c>
      <c r="M6" s="78">
        <v>0</v>
      </c>
      <c r="N6" s="78">
        <v>14</v>
      </c>
      <c r="O6" s="78">
        <v>23</v>
      </c>
    </row>
    <row r="7" spans="1:19" x14ac:dyDescent="0.25">
      <c r="A7" s="78">
        <v>2025</v>
      </c>
      <c r="B7" s="78" t="s">
        <v>1042</v>
      </c>
      <c r="C7" s="78" t="s">
        <v>499</v>
      </c>
      <c r="D7" s="78" t="s">
        <v>1043</v>
      </c>
      <c r="E7" s="78" t="s">
        <v>801</v>
      </c>
      <c r="F7" s="78" t="s">
        <v>1044</v>
      </c>
      <c r="G7" s="78" t="s">
        <v>469</v>
      </c>
      <c r="H7" s="78" t="s">
        <v>1053</v>
      </c>
      <c r="I7" s="78" t="s">
        <v>1054</v>
      </c>
      <c r="J7" s="78" t="s">
        <v>1055</v>
      </c>
      <c r="K7" s="78" t="s">
        <v>52</v>
      </c>
      <c r="L7" s="78" t="s">
        <v>1046</v>
      </c>
      <c r="M7" s="78">
        <v>0</v>
      </c>
      <c r="N7" s="78">
        <v>9</v>
      </c>
      <c r="O7" s="78">
        <v>6</v>
      </c>
    </row>
    <row r="8" spans="1:19" x14ac:dyDescent="0.25">
      <c r="A8" s="78">
        <v>2025</v>
      </c>
      <c r="B8" s="78" t="s">
        <v>1042</v>
      </c>
      <c r="C8" s="78" t="s">
        <v>499</v>
      </c>
      <c r="D8" s="78" t="s">
        <v>1043</v>
      </c>
      <c r="E8" s="78" t="s">
        <v>801</v>
      </c>
      <c r="F8" s="78" t="s">
        <v>1044</v>
      </c>
      <c r="G8" s="78" t="s">
        <v>469</v>
      </c>
      <c r="H8" s="78" t="s">
        <v>849</v>
      </c>
      <c r="I8" s="78" t="s">
        <v>1051</v>
      </c>
      <c r="J8" s="78" t="s">
        <v>1052</v>
      </c>
      <c r="K8" s="78" t="s">
        <v>52</v>
      </c>
      <c r="L8" s="78" t="s">
        <v>1046</v>
      </c>
      <c r="M8" s="78">
        <v>0</v>
      </c>
      <c r="N8" s="78">
        <v>7</v>
      </c>
      <c r="O8" s="78">
        <v>12</v>
      </c>
    </row>
    <row r="9" spans="1:19" x14ac:dyDescent="0.25">
      <c r="A9" s="78">
        <v>2025</v>
      </c>
      <c r="B9" s="78" t="s">
        <v>1042</v>
      </c>
      <c r="C9" s="78" t="s">
        <v>499</v>
      </c>
      <c r="D9" s="78" t="s">
        <v>1043</v>
      </c>
      <c r="E9" s="78" t="s">
        <v>801</v>
      </c>
      <c r="F9" s="78" t="s">
        <v>1044</v>
      </c>
      <c r="G9" s="78" t="s">
        <v>469</v>
      </c>
      <c r="H9" s="78" t="s">
        <v>853</v>
      </c>
      <c r="I9" s="78" t="s">
        <v>1049</v>
      </c>
      <c r="J9" s="78" t="s">
        <v>1050</v>
      </c>
      <c r="K9" s="78" t="s">
        <v>52</v>
      </c>
      <c r="L9" s="78" t="s">
        <v>1046</v>
      </c>
      <c r="M9" s="78">
        <v>0</v>
      </c>
      <c r="N9" s="78">
        <v>4</v>
      </c>
      <c r="O9" s="78">
        <v>5</v>
      </c>
    </row>
    <row r="10" spans="1:19" x14ac:dyDescent="0.25">
      <c r="A10" s="78">
        <v>2025</v>
      </c>
      <c r="B10" s="78" t="s">
        <v>1042</v>
      </c>
      <c r="C10" s="78" t="s">
        <v>499</v>
      </c>
      <c r="D10" s="78" t="s">
        <v>1043</v>
      </c>
      <c r="E10" s="78" t="s">
        <v>801</v>
      </c>
      <c r="F10" s="78" t="s">
        <v>1044</v>
      </c>
      <c r="G10" s="78" t="s">
        <v>469</v>
      </c>
      <c r="H10" s="78" t="s">
        <v>845</v>
      </c>
      <c r="I10" s="78" t="s">
        <v>1045</v>
      </c>
      <c r="J10" s="78" t="s">
        <v>948</v>
      </c>
      <c r="K10" s="78" t="s">
        <v>52</v>
      </c>
      <c r="L10" s="78" t="s">
        <v>1046</v>
      </c>
      <c r="M10" s="78">
        <v>0</v>
      </c>
      <c r="N10" s="78">
        <v>38</v>
      </c>
      <c r="O10" s="78">
        <v>45</v>
      </c>
    </row>
    <row r="11" spans="1:19" x14ac:dyDescent="0.25">
      <c r="A11" s="78">
        <v>2025</v>
      </c>
      <c r="B11" s="78" t="s">
        <v>1042</v>
      </c>
      <c r="C11" s="78" t="s">
        <v>499</v>
      </c>
      <c r="D11" s="78" t="s">
        <v>1043</v>
      </c>
      <c r="E11" s="78" t="s">
        <v>801</v>
      </c>
      <c r="F11" s="78" t="s">
        <v>1044</v>
      </c>
      <c r="G11" s="78" t="s">
        <v>469</v>
      </c>
      <c r="H11" s="78" t="s">
        <v>817</v>
      </c>
      <c r="I11" s="78" t="s">
        <v>1047</v>
      </c>
      <c r="J11" s="78" t="s">
        <v>1048</v>
      </c>
      <c r="K11" s="78" t="s">
        <v>52</v>
      </c>
      <c r="L11" s="78" t="s">
        <v>1046</v>
      </c>
      <c r="M11" s="78">
        <v>0</v>
      </c>
      <c r="N11" s="78">
        <v>18.822199999999999</v>
      </c>
      <c r="O11" s="78">
        <v>38</v>
      </c>
    </row>
    <row r="12" spans="1:19" x14ac:dyDescent="0.25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14"/>
      <c r="O12" s="14"/>
    </row>
    <row r="13" spans="1:19" x14ac:dyDescent="0.25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4"/>
      <c r="O13" s="14"/>
    </row>
    <row r="14" spans="1:19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14"/>
      <c r="O14" s="14"/>
    </row>
    <row r="15" spans="1:19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14"/>
      <c r="O15" s="14"/>
    </row>
    <row r="16" spans="1:19" x14ac:dyDescent="0.25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14"/>
      <c r="O16" s="14"/>
    </row>
    <row r="17" spans="1:15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14"/>
      <c r="O17" s="14"/>
    </row>
    <row r="18" spans="1:15" x14ac:dyDescent="0.25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14"/>
      <c r="O18" s="14"/>
    </row>
    <row r="19" spans="1:15" x14ac:dyDescent="0.25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14"/>
      <c r="O19" s="14"/>
    </row>
    <row r="20" spans="1:15" x14ac:dyDescent="0.25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14"/>
      <c r="O20" s="14"/>
    </row>
    <row r="21" spans="1:15" x14ac:dyDescent="0.25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14"/>
      <c r="O21" s="14"/>
    </row>
    <row r="22" spans="1:15" x14ac:dyDescent="0.2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14"/>
      <c r="O22" s="14"/>
    </row>
    <row r="23" spans="1:15" x14ac:dyDescent="0.25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14"/>
      <c r="O23" s="14"/>
    </row>
    <row r="24" spans="1:15" ht="21.6" customHeight="1" x14ac:dyDescent="0.25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14"/>
      <c r="O24" s="14"/>
    </row>
    <row r="25" spans="1:15" x14ac:dyDescent="0.25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14"/>
      <c r="O25" s="14"/>
    </row>
    <row r="26" spans="1:15" x14ac:dyDescent="0.25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14"/>
      <c r="O26" s="14"/>
    </row>
    <row r="27" spans="1:15" x14ac:dyDescent="0.25">
      <c r="A27" s="101"/>
      <c r="B27" s="89"/>
      <c r="C27" s="101"/>
      <c r="D27" s="101"/>
      <c r="E27" s="101"/>
      <c r="F27" s="101"/>
      <c r="G27" s="101"/>
      <c r="H27" s="89"/>
      <c r="I27" s="89"/>
      <c r="J27" s="89"/>
      <c r="K27" s="101"/>
      <c r="L27" s="89"/>
      <c r="M27" s="12"/>
      <c r="N27" s="14"/>
      <c r="O27" s="14"/>
    </row>
    <row r="28" spans="1:15" x14ac:dyDescent="0.25">
      <c r="A28" s="101"/>
      <c r="B28" s="89"/>
      <c r="C28" s="101"/>
      <c r="D28" s="101"/>
      <c r="E28" s="101"/>
      <c r="F28" s="101"/>
      <c r="G28" s="101"/>
      <c r="H28" s="89"/>
      <c r="I28" s="89"/>
      <c r="J28" s="89"/>
      <c r="K28" s="101"/>
      <c r="L28" s="89"/>
      <c r="M28" s="15"/>
      <c r="N28" s="14"/>
      <c r="O28" s="14"/>
    </row>
    <row r="29" spans="1:15" x14ac:dyDescent="0.25">
      <c r="A29" s="101"/>
      <c r="B29" s="89"/>
      <c r="C29" s="101"/>
      <c r="D29" s="101"/>
      <c r="E29" s="101"/>
      <c r="F29" s="101"/>
      <c r="G29" s="101"/>
      <c r="H29" s="89"/>
      <c r="I29" s="89"/>
      <c r="J29" s="89"/>
      <c r="K29" s="101"/>
      <c r="L29" s="89"/>
      <c r="M29" s="12"/>
      <c r="N29" s="14"/>
      <c r="O29" s="14"/>
    </row>
    <row r="30" spans="1:15" x14ac:dyDescent="0.25">
      <c r="A30" s="101"/>
      <c r="B30" s="89"/>
      <c r="C30" s="101"/>
      <c r="D30" s="101"/>
      <c r="E30" s="101"/>
      <c r="F30" s="101"/>
      <c r="G30" s="101"/>
      <c r="H30" s="89"/>
      <c r="I30" s="89"/>
      <c r="J30" s="89"/>
      <c r="K30" s="101"/>
      <c r="L30" s="89"/>
      <c r="M30" s="15"/>
      <c r="N30" s="14"/>
      <c r="O30" s="14"/>
    </row>
    <row r="31" spans="1:15" x14ac:dyDescent="0.25">
      <c r="A31" s="101"/>
      <c r="B31" s="89"/>
      <c r="C31" s="101"/>
      <c r="D31" s="101"/>
      <c r="E31" s="101"/>
      <c r="F31" s="101"/>
      <c r="G31" s="101"/>
      <c r="H31" s="89"/>
      <c r="I31" s="89"/>
      <c r="J31" s="89"/>
      <c r="K31" s="101"/>
      <c r="L31" s="89"/>
      <c r="M31" s="12"/>
      <c r="N31" s="14"/>
      <c r="O31" s="14"/>
    </row>
    <row r="32" spans="1:15" x14ac:dyDescent="0.25">
      <c r="A32" s="101"/>
      <c r="B32" s="89"/>
      <c r="C32" s="101"/>
      <c r="D32" s="101"/>
      <c r="E32" s="101"/>
      <c r="F32" s="101"/>
      <c r="G32" s="101"/>
      <c r="H32" s="89"/>
      <c r="I32" s="89"/>
      <c r="J32" s="89"/>
      <c r="K32" s="101"/>
      <c r="L32" s="89"/>
      <c r="M32" s="15"/>
      <c r="N32" s="14"/>
      <c r="O32" s="14"/>
    </row>
    <row r="33" spans="1:15" x14ac:dyDescent="0.25">
      <c r="A33" s="101"/>
      <c r="B33" s="89"/>
      <c r="C33" s="101"/>
      <c r="D33" s="101"/>
      <c r="E33" s="101"/>
      <c r="F33" s="101"/>
      <c r="G33" s="101"/>
      <c r="H33" s="89"/>
      <c r="I33" s="89"/>
      <c r="J33" s="89"/>
      <c r="K33" s="101"/>
      <c r="L33" s="89"/>
      <c r="M33" s="12"/>
      <c r="N33" s="14"/>
      <c r="O33" s="14"/>
    </row>
    <row r="34" spans="1:15" x14ac:dyDescent="0.25">
      <c r="A34" s="101"/>
      <c r="B34" s="89"/>
      <c r="C34" s="101"/>
      <c r="D34" s="101"/>
      <c r="E34" s="101"/>
      <c r="F34" s="101"/>
      <c r="G34" s="101"/>
      <c r="H34" s="89"/>
      <c r="I34" s="89"/>
      <c r="J34" s="89"/>
      <c r="K34" s="101"/>
      <c r="L34" s="89"/>
      <c r="M34" s="15"/>
      <c r="N34" s="14"/>
      <c r="O34" s="14"/>
    </row>
    <row r="35" spans="1:15" x14ac:dyDescent="0.25">
      <c r="A35" s="101"/>
      <c r="B35" s="89"/>
      <c r="C35" s="101"/>
      <c r="D35" s="101"/>
      <c r="E35" s="101"/>
      <c r="F35" s="101"/>
      <c r="G35" s="101"/>
      <c r="H35" s="89"/>
      <c r="I35" s="89"/>
      <c r="J35" s="89"/>
      <c r="K35" s="101"/>
      <c r="L35" s="89"/>
      <c r="M35" s="12"/>
      <c r="N35" s="14"/>
      <c r="O35" s="14"/>
    </row>
    <row r="36" spans="1:15" x14ac:dyDescent="0.25">
      <c r="A36" s="101"/>
      <c r="B36" s="89"/>
      <c r="C36" s="101"/>
      <c r="D36" s="101"/>
      <c r="E36" s="101"/>
      <c r="F36" s="101"/>
      <c r="G36" s="101"/>
      <c r="H36" s="89"/>
      <c r="I36" s="89"/>
      <c r="J36" s="89"/>
      <c r="K36" s="101"/>
      <c r="L36" s="89"/>
      <c r="M36" s="15"/>
      <c r="N36" s="14"/>
      <c r="O36" s="14"/>
    </row>
    <row r="37" spans="1:15" x14ac:dyDescent="0.25">
      <c r="A37" s="101"/>
      <c r="B37" s="89"/>
      <c r="C37" s="101"/>
      <c r="D37" s="101"/>
      <c r="E37" s="101"/>
      <c r="F37" s="101"/>
      <c r="G37" s="101"/>
      <c r="H37" s="89"/>
      <c r="I37" s="89"/>
      <c r="J37" s="89"/>
      <c r="K37" s="101"/>
      <c r="L37" s="89"/>
      <c r="M37" s="12"/>
      <c r="N37" s="14"/>
      <c r="O37" s="14"/>
    </row>
    <row r="38" spans="1:15" x14ac:dyDescent="0.25">
      <c r="A38" s="101"/>
      <c r="B38" s="89"/>
      <c r="C38" s="101"/>
      <c r="D38" s="101"/>
      <c r="E38" s="101"/>
      <c r="F38" s="101"/>
      <c r="G38" s="101"/>
      <c r="H38" s="89"/>
      <c r="I38" s="89"/>
      <c r="J38" s="89"/>
      <c r="K38" s="101"/>
      <c r="L38" s="89"/>
      <c r="M38" s="15"/>
      <c r="N38" s="14"/>
      <c r="O38" s="14"/>
    </row>
    <row r="39" spans="1:15" x14ac:dyDescent="0.25">
      <c r="A39" s="101"/>
      <c r="B39" s="89"/>
      <c r="C39" s="101"/>
      <c r="D39" s="101"/>
      <c r="E39" s="101"/>
      <c r="F39" s="101"/>
      <c r="G39" s="101"/>
      <c r="H39" s="89"/>
      <c r="I39" s="89"/>
      <c r="J39" s="89"/>
      <c r="K39" s="101"/>
      <c r="L39" s="89"/>
      <c r="M39" s="12"/>
      <c r="N39" s="14"/>
      <c r="O39" s="14"/>
    </row>
    <row r="40" spans="1:15" x14ac:dyDescent="0.25">
      <c r="A40" s="102"/>
      <c r="B40" s="102"/>
      <c r="C40" s="103"/>
      <c r="D40" s="102"/>
      <c r="E40" s="102"/>
      <c r="F40" s="102"/>
      <c r="G40" s="102"/>
      <c r="H40" s="103"/>
      <c r="I40" s="102"/>
      <c r="J40" s="102"/>
      <c r="K40" s="102"/>
      <c r="L40" s="102"/>
      <c r="M40" s="15"/>
      <c r="N40" s="14"/>
      <c r="O40" s="14"/>
    </row>
    <row r="41" spans="1:15" x14ac:dyDescent="0.25">
      <c r="A41" s="12"/>
      <c r="B41" s="12"/>
      <c r="C41" s="13"/>
      <c r="D41" s="12"/>
      <c r="E41" s="12"/>
      <c r="F41" s="12"/>
      <c r="G41" s="12"/>
      <c r="H41" s="13"/>
      <c r="I41" s="12"/>
      <c r="J41" s="12"/>
      <c r="K41" s="12"/>
      <c r="L41" s="12"/>
      <c r="M41" s="12"/>
      <c r="N41" s="14"/>
      <c r="O41" s="14"/>
    </row>
    <row r="42" spans="1:15" x14ac:dyDescent="0.25">
      <c r="A42" s="15"/>
      <c r="B42" s="15"/>
      <c r="C42" s="16"/>
      <c r="D42" s="15"/>
      <c r="E42" s="15"/>
      <c r="F42" s="15"/>
      <c r="G42" s="15"/>
      <c r="H42" s="16"/>
      <c r="I42" s="15"/>
      <c r="J42" s="15"/>
      <c r="K42" s="15"/>
      <c r="L42" s="15"/>
      <c r="M42" s="15"/>
      <c r="N42" s="14"/>
      <c r="O42" s="14"/>
    </row>
    <row r="43" spans="1:15" x14ac:dyDescent="0.25">
      <c r="A43" s="12"/>
      <c r="B43" s="12"/>
      <c r="C43" s="13"/>
      <c r="D43" s="12"/>
      <c r="E43" s="12"/>
      <c r="F43" s="12"/>
      <c r="G43" s="12"/>
      <c r="H43" s="13"/>
      <c r="I43" s="12"/>
      <c r="J43" s="12"/>
      <c r="K43" s="12"/>
      <c r="L43" s="12"/>
      <c r="M43" s="12"/>
      <c r="N43" s="14"/>
      <c r="O43" s="14"/>
    </row>
    <row r="44" spans="1:15" x14ac:dyDescent="0.25">
      <c r="A44" s="15"/>
      <c r="B44" s="15"/>
      <c r="C44" s="16"/>
      <c r="D44" s="15"/>
      <c r="E44" s="15"/>
      <c r="F44" s="15"/>
      <c r="G44" s="15"/>
      <c r="H44" s="16"/>
      <c r="I44" s="15"/>
      <c r="J44" s="15"/>
      <c r="K44" s="15"/>
      <c r="L44" s="15"/>
      <c r="M44" s="15"/>
      <c r="N44" s="14"/>
      <c r="O44" s="14"/>
    </row>
    <row r="45" spans="1:15" x14ac:dyDescent="0.25">
      <c r="A45" s="12"/>
      <c r="B45" s="12"/>
      <c r="C45" s="13"/>
      <c r="D45" s="12"/>
      <c r="E45" s="12"/>
      <c r="F45" s="12"/>
      <c r="G45" s="12"/>
      <c r="H45" s="13"/>
      <c r="I45" s="12"/>
      <c r="J45" s="12"/>
      <c r="K45" s="12"/>
      <c r="L45" s="12"/>
      <c r="M45" s="12"/>
      <c r="N45" s="14"/>
      <c r="O45" s="14"/>
    </row>
    <row r="46" spans="1:15" x14ac:dyDescent="0.25">
      <c r="A46" s="15"/>
      <c r="B46" s="15"/>
      <c r="C46" s="16"/>
      <c r="D46" s="15"/>
      <c r="E46" s="15"/>
      <c r="F46" s="15"/>
      <c r="G46" s="15"/>
      <c r="H46" s="16"/>
      <c r="I46" s="15"/>
      <c r="J46" s="15"/>
      <c r="K46" s="15"/>
      <c r="L46" s="15"/>
      <c r="M46" s="15"/>
      <c r="N46" s="14"/>
      <c r="O46" s="14"/>
    </row>
    <row r="47" spans="1:15" x14ac:dyDescent="0.25">
      <c r="A47" s="12"/>
      <c r="B47" s="12"/>
      <c r="C47" s="13"/>
      <c r="D47" s="12"/>
      <c r="E47" s="12"/>
      <c r="F47" s="12"/>
      <c r="G47" s="12"/>
      <c r="H47" s="13"/>
      <c r="I47" s="12"/>
      <c r="J47" s="12"/>
      <c r="K47" s="12"/>
      <c r="L47" s="12"/>
      <c r="M47" s="12"/>
      <c r="N47" s="14"/>
      <c r="O47" s="14"/>
    </row>
    <row r="48" spans="1:15" x14ac:dyDescent="0.25">
      <c r="A48" s="15"/>
      <c r="B48" s="15"/>
      <c r="C48" s="16"/>
      <c r="D48" s="15"/>
      <c r="E48" s="15"/>
      <c r="F48" s="15"/>
      <c r="G48" s="15"/>
      <c r="H48" s="16"/>
      <c r="I48" s="15"/>
      <c r="J48" s="15"/>
      <c r="K48" s="15"/>
      <c r="L48" s="15"/>
      <c r="M48" s="15"/>
      <c r="N48" s="14"/>
      <c r="O48" s="14"/>
    </row>
    <row r="49" spans="1:15" x14ac:dyDescent="0.25">
      <c r="A49" s="12"/>
      <c r="B49" s="12"/>
      <c r="C49" s="13"/>
      <c r="D49" s="12"/>
      <c r="E49" s="12"/>
      <c r="F49" s="12"/>
      <c r="G49" s="12"/>
      <c r="H49" s="13"/>
      <c r="I49" s="12"/>
      <c r="J49" s="12"/>
      <c r="K49" s="12"/>
      <c r="L49" s="12"/>
      <c r="M49" s="12"/>
      <c r="N49" s="14"/>
      <c r="O49" s="14"/>
    </row>
    <row r="50" spans="1:15" x14ac:dyDescent="0.25">
      <c r="A50" s="15"/>
      <c r="B50" s="15"/>
      <c r="C50" s="16"/>
      <c r="D50" s="15"/>
      <c r="E50" s="15"/>
      <c r="F50" s="15"/>
      <c r="G50" s="15"/>
      <c r="H50" s="16"/>
      <c r="I50" s="15"/>
      <c r="J50" s="15"/>
      <c r="K50" s="15"/>
      <c r="L50" s="15"/>
      <c r="M50" s="15"/>
      <c r="N50" s="14"/>
      <c r="O50" s="14"/>
    </row>
    <row r="51" spans="1:15" x14ac:dyDescent="0.25">
      <c r="A51" s="12"/>
      <c r="B51" s="12"/>
      <c r="C51" s="13"/>
      <c r="D51" s="12"/>
      <c r="E51" s="12"/>
      <c r="F51" s="12"/>
      <c r="G51" s="12"/>
      <c r="H51" s="13"/>
      <c r="I51" s="12"/>
      <c r="J51" s="12"/>
      <c r="K51" s="12"/>
      <c r="L51" s="12"/>
      <c r="M51" s="12"/>
      <c r="N51" s="14"/>
      <c r="O51" s="14"/>
    </row>
    <row r="52" spans="1:15" x14ac:dyDescent="0.25">
      <c r="A52" s="15"/>
      <c r="B52" s="15"/>
      <c r="C52" s="16"/>
      <c r="D52" s="15"/>
      <c r="E52" s="15"/>
      <c r="F52" s="15"/>
      <c r="G52" s="15"/>
      <c r="H52" s="16"/>
      <c r="I52" s="15"/>
      <c r="J52" s="15"/>
      <c r="K52" s="15"/>
      <c r="L52" s="15"/>
      <c r="M52" s="15"/>
      <c r="N52" s="14"/>
      <c r="O52" s="14"/>
    </row>
    <row r="53" spans="1:15" x14ac:dyDescent="0.25">
      <c r="A53" s="12"/>
      <c r="B53" s="12"/>
      <c r="C53" s="13"/>
      <c r="D53" s="12"/>
      <c r="E53" s="12"/>
      <c r="F53" s="12"/>
      <c r="G53" s="12"/>
      <c r="H53" s="13"/>
      <c r="I53" s="12"/>
      <c r="J53" s="12"/>
      <c r="K53" s="12"/>
      <c r="L53" s="12"/>
      <c r="M53" s="12"/>
      <c r="N53" s="14"/>
      <c r="O53" s="14"/>
    </row>
    <row r="54" spans="1:15" x14ac:dyDescent="0.25">
      <c r="A54" s="15"/>
      <c r="B54" s="15"/>
      <c r="C54" s="16"/>
      <c r="D54" s="15"/>
      <c r="E54" s="15"/>
      <c r="F54" s="15"/>
      <c r="G54" s="15"/>
      <c r="H54" s="16"/>
      <c r="I54" s="15"/>
      <c r="J54" s="15"/>
      <c r="K54" s="15"/>
      <c r="L54" s="15"/>
      <c r="M54" s="15"/>
      <c r="N54" s="14"/>
      <c r="O54" s="14"/>
    </row>
    <row r="55" spans="1:15" x14ac:dyDescent="0.25">
      <c r="A55" s="12"/>
      <c r="B55" s="12"/>
      <c r="C55" s="13"/>
      <c r="D55" s="12"/>
      <c r="E55" s="12"/>
      <c r="F55" s="12"/>
      <c r="G55" s="12"/>
      <c r="H55" s="13"/>
      <c r="I55" s="12"/>
      <c r="J55" s="12"/>
      <c r="K55" s="12"/>
      <c r="L55" s="12"/>
      <c r="M55" s="12"/>
      <c r="N55" s="14"/>
      <c r="O55" s="14"/>
    </row>
    <row r="56" spans="1:15" x14ac:dyDescent="0.25">
      <c r="A56" s="15"/>
      <c r="B56" s="15"/>
      <c r="C56" s="16"/>
      <c r="D56" s="15"/>
      <c r="E56" s="15"/>
      <c r="F56" s="15"/>
      <c r="G56" s="15"/>
      <c r="H56" s="16"/>
      <c r="I56" s="15"/>
      <c r="J56" s="15"/>
      <c r="K56" s="15"/>
      <c r="L56" s="15"/>
      <c r="M56" s="15"/>
      <c r="N56" s="14"/>
      <c r="O56" s="14"/>
    </row>
    <row r="57" spans="1:15" x14ac:dyDescent="0.25">
      <c r="A57" s="12"/>
      <c r="B57" s="12"/>
      <c r="C57" s="13"/>
      <c r="D57" s="12"/>
      <c r="E57" s="12"/>
      <c r="F57" s="12"/>
      <c r="G57" s="12"/>
      <c r="H57" s="13"/>
      <c r="I57" s="12"/>
      <c r="J57" s="12"/>
      <c r="K57" s="12"/>
      <c r="L57" s="12"/>
      <c r="M57" s="12"/>
      <c r="N57" s="14"/>
      <c r="O57" s="14"/>
    </row>
    <row r="58" spans="1:15" x14ac:dyDescent="0.25">
      <c r="A58" s="15"/>
      <c r="B58" s="15"/>
      <c r="C58" s="16"/>
      <c r="D58" s="15"/>
      <c r="E58" s="15"/>
      <c r="F58" s="15"/>
      <c r="G58" s="15"/>
      <c r="H58" s="16"/>
      <c r="I58" s="15"/>
      <c r="J58" s="15"/>
      <c r="K58" s="15"/>
      <c r="L58" s="15"/>
      <c r="M58" s="15"/>
      <c r="N58" s="14"/>
      <c r="O58" s="14"/>
    </row>
    <row r="59" spans="1:15" x14ac:dyDescent="0.25">
      <c r="A59" s="12"/>
      <c r="B59" s="12"/>
      <c r="C59" s="13"/>
      <c r="D59" s="12"/>
      <c r="E59" s="12"/>
      <c r="F59" s="12"/>
      <c r="G59" s="12"/>
      <c r="H59" s="13"/>
      <c r="I59" s="12"/>
      <c r="J59" s="12"/>
      <c r="K59" s="12"/>
      <c r="L59" s="12"/>
      <c r="M59" s="12"/>
      <c r="N59" s="14"/>
      <c r="O59" s="14"/>
    </row>
    <row r="60" spans="1:15" x14ac:dyDescent="0.25">
      <c r="A60" s="15"/>
      <c r="B60" s="15"/>
      <c r="C60" s="16"/>
      <c r="D60" s="15"/>
      <c r="E60" s="15"/>
      <c r="F60" s="15"/>
      <c r="G60" s="15"/>
      <c r="H60" s="16"/>
      <c r="I60" s="15"/>
      <c r="J60" s="15"/>
      <c r="K60" s="15"/>
      <c r="L60" s="15"/>
      <c r="M60" s="15"/>
      <c r="N60" s="14"/>
      <c r="O60" s="14"/>
    </row>
    <row r="61" spans="1:15" x14ac:dyDescent="0.25">
      <c r="A61" s="12"/>
      <c r="B61" s="12"/>
      <c r="C61" s="13"/>
      <c r="D61" s="12"/>
      <c r="E61" s="12"/>
      <c r="F61" s="12"/>
      <c r="G61" s="12"/>
      <c r="H61" s="13"/>
      <c r="I61" s="12"/>
      <c r="J61" s="12"/>
      <c r="K61" s="12"/>
      <c r="L61" s="12"/>
      <c r="M61" s="12"/>
      <c r="N61" s="14"/>
      <c r="O61" s="14"/>
    </row>
    <row r="62" spans="1:15" x14ac:dyDescent="0.25">
      <c r="A62" s="15"/>
      <c r="B62" s="15"/>
      <c r="C62" s="16"/>
      <c r="D62" s="15"/>
      <c r="E62" s="15"/>
      <c r="F62" s="15"/>
      <c r="G62" s="15"/>
      <c r="H62" s="16"/>
      <c r="I62" s="15"/>
      <c r="J62" s="15"/>
      <c r="K62" s="15"/>
      <c r="L62" s="15"/>
      <c r="M62" s="15"/>
      <c r="N62" s="14"/>
      <c r="O62" s="14"/>
    </row>
    <row r="63" spans="1:15" x14ac:dyDescent="0.25">
      <c r="A63" s="12"/>
      <c r="B63" s="12"/>
      <c r="C63" s="13"/>
      <c r="D63" s="12"/>
      <c r="E63" s="12"/>
      <c r="F63" s="12"/>
      <c r="G63" s="12"/>
      <c r="H63" s="13"/>
      <c r="I63" s="12"/>
      <c r="J63" s="12"/>
      <c r="K63" s="12"/>
      <c r="L63" s="12"/>
      <c r="M63" s="12"/>
      <c r="N63" s="14"/>
      <c r="O63" s="14"/>
    </row>
    <row r="64" spans="1:15" x14ac:dyDescent="0.25">
      <c r="A64" s="15"/>
      <c r="B64" s="15"/>
      <c r="C64" s="16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4"/>
      <c r="O64" s="14"/>
    </row>
    <row r="65" spans="1:15" x14ac:dyDescent="0.25">
      <c r="A65" s="12"/>
      <c r="B65" s="12"/>
      <c r="C65" s="13"/>
      <c r="D65" s="12"/>
      <c r="E65" s="12"/>
      <c r="F65" s="12"/>
      <c r="G65" s="12"/>
      <c r="H65" s="13"/>
      <c r="I65" s="12"/>
      <c r="J65" s="12"/>
      <c r="K65" s="12"/>
      <c r="L65" s="12"/>
      <c r="M65" s="12"/>
      <c r="N65" s="14"/>
      <c r="O65" s="14"/>
    </row>
    <row r="66" spans="1:15" x14ac:dyDescent="0.25">
      <c r="A66" s="15"/>
      <c r="B66" s="15"/>
      <c r="C66" s="16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4"/>
      <c r="O66" s="14"/>
    </row>
    <row r="67" spans="1:15" x14ac:dyDescent="0.25">
      <c r="A67" s="12"/>
      <c r="B67" s="12"/>
      <c r="C67" s="13"/>
      <c r="D67" s="12"/>
      <c r="E67" s="12"/>
      <c r="F67" s="12"/>
      <c r="G67" s="12"/>
      <c r="H67" s="13"/>
      <c r="I67" s="12"/>
      <c r="J67" s="12"/>
      <c r="K67" s="12"/>
      <c r="L67" s="12"/>
      <c r="M67" s="12"/>
      <c r="N67" s="14"/>
      <c r="O67" s="14"/>
    </row>
    <row r="68" spans="1:15" x14ac:dyDescent="0.25">
      <c r="A68" s="15"/>
      <c r="B68" s="15"/>
      <c r="C68" s="16"/>
      <c r="D68" s="15"/>
      <c r="E68" s="15"/>
      <c r="F68" s="15"/>
      <c r="G68" s="15"/>
      <c r="H68" s="16"/>
      <c r="I68" s="15"/>
      <c r="J68" s="15"/>
      <c r="K68" s="15"/>
      <c r="L68" s="15"/>
      <c r="M68" s="15"/>
      <c r="N68" s="14"/>
      <c r="O68" s="14"/>
    </row>
    <row r="69" spans="1:15" x14ac:dyDescent="0.25">
      <c r="A69" s="12"/>
      <c r="B69" s="12"/>
      <c r="C69" s="13"/>
      <c r="D69" s="12"/>
      <c r="E69" s="12"/>
      <c r="F69" s="12"/>
      <c r="G69" s="12"/>
      <c r="H69" s="13"/>
      <c r="I69" s="12"/>
      <c r="J69" s="12"/>
      <c r="K69" s="12"/>
      <c r="L69" s="12"/>
      <c r="M69" s="12"/>
      <c r="N69" s="14"/>
      <c r="O69" s="14"/>
    </row>
    <row r="70" spans="1:15" x14ac:dyDescent="0.25">
      <c r="A70" s="15"/>
      <c r="B70" s="15"/>
      <c r="C70" s="16"/>
      <c r="D70" s="15"/>
      <c r="E70" s="15"/>
      <c r="F70" s="15"/>
      <c r="G70" s="15"/>
      <c r="H70" s="16"/>
      <c r="I70" s="15"/>
      <c r="J70" s="15"/>
      <c r="K70" s="15"/>
      <c r="L70" s="15"/>
      <c r="M70" s="15"/>
      <c r="N70" s="14"/>
      <c r="O70" s="14"/>
    </row>
    <row r="71" spans="1:15" x14ac:dyDescent="0.25">
      <c r="A71" s="12"/>
      <c r="B71" s="12"/>
      <c r="C71" s="13"/>
      <c r="D71" s="12"/>
      <c r="E71" s="12"/>
      <c r="F71" s="12"/>
      <c r="G71" s="12"/>
      <c r="H71" s="13"/>
      <c r="I71" s="12"/>
      <c r="J71" s="12"/>
      <c r="K71" s="12"/>
      <c r="L71" s="12"/>
      <c r="M71" s="12"/>
      <c r="N71" s="14"/>
      <c r="O71" s="14"/>
    </row>
    <row r="72" spans="1:15" x14ac:dyDescent="0.25">
      <c r="A72" s="15"/>
      <c r="B72" s="15"/>
      <c r="C72" s="16"/>
      <c r="D72" s="15"/>
      <c r="E72" s="15"/>
      <c r="F72" s="15"/>
      <c r="G72" s="15"/>
      <c r="H72" s="16"/>
      <c r="I72" s="15"/>
      <c r="J72" s="15"/>
      <c r="K72" s="15"/>
      <c r="L72" s="15"/>
      <c r="M72" s="15"/>
      <c r="N72" s="14"/>
      <c r="O72" s="14"/>
    </row>
    <row r="73" spans="1:15" x14ac:dyDescent="0.25">
      <c r="A73" s="12"/>
      <c r="B73" s="12"/>
      <c r="C73" s="13"/>
      <c r="D73" s="12"/>
      <c r="E73" s="12"/>
      <c r="F73" s="12"/>
      <c r="G73" s="12"/>
      <c r="H73" s="13"/>
      <c r="I73" s="12"/>
      <c r="J73" s="12"/>
      <c r="K73" s="12"/>
      <c r="L73" s="12"/>
      <c r="M73" s="12"/>
      <c r="N73" s="14"/>
      <c r="O73" s="14"/>
    </row>
    <row r="74" spans="1:15" x14ac:dyDescent="0.25">
      <c r="A74" s="15"/>
      <c r="B74" s="15"/>
      <c r="C74" s="16"/>
      <c r="D74" s="15"/>
      <c r="E74" s="15"/>
      <c r="F74" s="15"/>
      <c r="G74" s="15"/>
      <c r="H74" s="16"/>
      <c r="I74" s="15"/>
      <c r="J74" s="15"/>
      <c r="K74" s="15"/>
      <c r="L74" s="15"/>
      <c r="M74" s="15"/>
      <c r="N74" s="14"/>
      <c r="O74" s="14"/>
    </row>
    <row r="75" spans="1:15" x14ac:dyDescent="0.25">
      <c r="A75" s="12"/>
      <c r="B75" s="12"/>
      <c r="C75" s="13"/>
      <c r="D75" s="12"/>
      <c r="E75" s="12"/>
      <c r="F75" s="12"/>
      <c r="G75" s="12"/>
      <c r="H75" s="13"/>
      <c r="I75" s="12"/>
      <c r="J75" s="12"/>
      <c r="K75" s="12"/>
      <c r="L75" s="12"/>
      <c r="M75" s="12"/>
      <c r="N75" s="14"/>
      <c r="O75" s="14"/>
    </row>
    <row r="76" spans="1:15" x14ac:dyDescent="0.25">
      <c r="A76" s="15"/>
      <c r="B76" s="15"/>
      <c r="C76" s="16"/>
      <c r="D76" s="15"/>
      <c r="E76" s="15"/>
      <c r="F76" s="15"/>
      <c r="G76" s="15"/>
      <c r="H76" s="16"/>
      <c r="I76" s="15"/>
      <c r="J76" s="15"/>
      <c r="K76" s="15"/>
      <c r="L76" s="15"/>
      <c r="M76" s="15"/>
      <c r="N76" s="14"/>
      <c r="O76" s="14"/>
    </row>
    <row r="77" spans="1:15" x14ac:dyDescent="0.25">
      <c r="A77" s="12"/>
      <c r="B77" s="12"/>
      <c r="C77" s="13"/>
      <c r="D77" s="12"/>
      <c r="E77" s="12"/>
      <c r="F77" s="12"/>
      <c r="G77" s="12"/>
      <c r="H77" s="13"/>
      <c r="I77" s="12"/>
      <c r="J77" s="12"/>
      <c r="K77" s="12"/>
      <c r="L77" s="12"/>
      <c r="M77" s="12"/>
      <c r="N77" s="14"/>
      <c r="O77" s="14"/>
    </row>
    <row r="78" spans="1:15" x14ac:dyDescent="0.25">
      <c r="A78" s="15"/>
      <c r="B78" s="15"/>
      <c r="C78" s="16"/>
      <c r="D78" s="15"/>
      <c r="E78" s="15"/>
      <c r="F78" s="15"/>
      <c r="G78" s="15"/>
      <c r="H78" s="16"/>
      <c r="I78" s="15"/>
      <c r="J78" s="15"/>
      <c r="K78" s="15"/>
      <c r="L78" s="15"/>
      <c r="M78" s="15"/>
      <c r="N78" s="14"/>
      <c r="O78" s="14"/>
    </row>
    <row r="79" spans="1:15" x14ac:dyDescent="0.25">
      <c r="A79" s="12"/>
      <c r="B79" s="12"/>
      <c r="C79" s="13"/>
      <c r="D79" s="12"/>
      <c r="E79" s="12"/>
      <c r="F79" s="12"/>
      <c r="G79" s="12"/>
      <c r="H79" s="13"/>
      <c r="I79" s="12"/>
      <c r="J79" s="12"/>
      <c r="K79" s="12"/>
      <c r="L79" s="12"/>
      <c r="M79" s="12"/>
      <c r="N79" s="14"/>
      <c r="O79" s="14"/>
    </row>
    <row r="80" spans="1:15" x14ac:dyDescent="0.25">
      <c r="A80" s="15"/>
      <c r="B80" s="15"/>
      <c r="C80" s="16"/>
      <c r="D80" s="15"/>
      <c r="E80" s="15"/>
      <c r="F80" s="15"/>
      <c r="G80" s="15"/>
      <c r="H80" s="16"/>
      <c r="I80" s="15"/>
      <c r="J80" s="15"/>
      <c r="K80" s="15"/>
      <c r="L80" s="15"/>
      <c r="M80" s="15"/>
      <c r="N80" s="14"/>
      <c r="O80" s="14"/>
    </row>
    <row r="81" spans="1:15" x14ac:dyDescent="0.25">
      <c r="A81" s="12"/>
      <c r="B81" s="12"/>
      <c r="C81" s="13"/>
      <c r="D81" s="12"/>
      <c r="E81" s="12"/>
      <c r="F81" s="12"/>
      <c r="G81" s="12"/>
      <c r="H81" s="13"/>
      <c r="I81" s="12"/>
      <c r="J81" s="12"/>
      <c r="K81" s="12"/>
      <c r="L81" s="12"/>
      <c r="M81" s="12"/>
      <c r="N81" s="14"/>
      <c r="O81" s="14"/>
    </row>
    <row r="82" spans="1:15" x14ac:dyDescent="0.25">
      <c r="A82" s="15"/>
      <c r="B82" s="15"/>
      <c r="C82" s="16"/>
      <c r="D82" s="15"/>
      <c r="E82" s="15"/>
      <c r="F82" s="15"/>
      <c r="G82" s="15"/>
      <c r="H82" s="16"/>
      <c r="I82" s="15"/>
      <c r="J82" s="15"/>
      <c r="K82" s="15"/>
      <c r="L82" s="15"/>
      <c r="M82" s="15"/>
      <c r="N82" s="14"/>
      <c r="O82" s="14"/>
    </row>
    <row r="83" spans="1:15" x14ac:dyDescent="0.25">
      <c r="A83" s="12"/>
      <c r="B83" s="12"/>
      <c r="C83" s="13"/>
      <c r="D83" s="12"/>
      <c r="E83" s="12"/>
      <c r="F83" s="12"/>
      <c r="G83" s="12"/>
      <c r="H83" s="13"/>
      <c r="I83" s="12"/>
      <c r="J83" s="12"/>
      <c r="K83" s="12"/>
      <c r="L83" s="12"/>
      <c r="M83" s="12"/>
      <c r="N83" s="14"/>
      <c r="O83" s="14"/>
    </row>
    <row r="84" spans="1:15" x14ac:dyDescent="0.25">
      <c r="A84" s="15"/>
      <c r="B84" s="15"/>
      <c r="C84" s="16"/>
      <c r="D84" s="15"/>
      <c r="E84" s="15"/>
      <c r="F84" s="15"/>
      <c r="G84" s="15"/>
      <c r="H84" s="16"/>
      <c r="I84" s="15"/>
      <c r="J84" s="15"/>
      <c r="K84" s="15"/>
      <c r="L84" s="15"/>
      <c r="M84" s="15"/>
      <c r="N84" s="14"/>
      <c r="O84" s="14"/>
    </row>
    <row r="85" spans="1:15" x14ac:dyDescent="0.25">
      <c r="A85" s="12"/>
      <c r="B85" s="12"/>
      <c r="C85" s="13"/>
      <c r="D85" s="12"/>
      <c r="E85" s="12"/>
      <c r="F85" s="12"/>
      <c r="G85" s="12"/>
      <c r="H85" s="13"/>
      <c r="I85" s="12"/>
      <c r="J85" s="12"/>
      <c r="K85" s="12"/>
      <c r="L85" s="12"/>
      <c r="M85" s="12"/>
      <c r="N85" s="14"/>
      <c r="O85" s="14"/>
    </row>
    <row r="86" spans="1:15" x14ac:dyDescent="0.25">
      <c r="A86" s="15"/>
      <c r="B86" s="15"/>
      <c r="C86" s="16"/>
      <c r="D86" s="15"/>
      <c r="E86" s="15"/>
      <c r="F86" s="15"/>
      <c r="G86" s="15"/>
      <c r="H86" s="16"/>
      <c r="I86" s="15"/>
      <c r="J86" s="15"/>
      <c r="K86" s="15"/>
      <c r="L86" s="15"/>
      <c r="M86" s="15"/>
      <c r="N86" s="14"/>
      <c r="O86" s="14"/>
    </row>
    <row r="87" spans="1:15" x14ac:dyDescent="0.25">
      <c r="A87" s="12"/>
      <c r="B87" s="12"/>
      <c r="C87" s="13"/>
      <c r="D87" s="12"/>
      <c r="E87" s="12"/>
      <c r="F87" s="12"/>
      <c r="G87" s="12"/>
      <c r="H87" s="13"/>
      <c r="I87" s="12"/>
      <c r="J87" s="12"/>
      <c r="K87" s="12"/>
      <c r="L87" s="12"/>
      <c r="M87" s="12"/>
      <c r="N87" s="14"/>
      <c r="O87" s="14"/>
    </row>
    <row r="88" spans="1:15" x14ac:dyDescent="0.25">
      <c r="A88" s="15"/>
      <c r="B88" s="15"/>
      <c r="C88" s="16"/>
      <c r="D88" s="15"/>
      <c r="E88" s="15"/>
      <c r="F88" s="15"/>
      <c r="G88" s="15"/>
      <c r="H88" s="16"/>
      <c r="I88" s="15"/>
      <c r="J88" s="15"/>
      <c r="K88" s="15"/>
      <c r="L88" s="15"/>
      <c r="M88" s="15"/>
      <c r="N88" s="14"/>
      <c r="O88" s="14"/>
    </row>
    <row r="89" spans="1:15" x14ac:dyDescent="0.25">
      <c r="A89" s="12"/>
      <c r="B89" s="12"/>
      <c r="C89" s="13"/>
      <c r="D89" s="12"/>
      <c r="E89" s="12"/>
      <c r="F89" s="12"/>
      <c r="G89" s="12"/>
      <c r="H89" s="13"/>
      <c r="I89" s="12"/>
      <c r="J89" s="12"/>
      <c r="K89" s="12"/>
      <c r="L89" s="12"/>
      <c r="M89" s="12"/>
      <c r="N89" s="14"/>
      <c r="O89" s="14"/>
    </row>
    <row r="90" spans="1:15" x14ac:dyDescent="0.25">
      <c r="A90" s="15"/>
      <c r="B90" s="15"/>
      <c r="C90" s="16"/>
      <c r="D90" s="15"/>
      <c r="E90" s="15"/>
      <c r="F90" s="15"/>
      <c r="G90" s="15"/>
      <c r="H90" s="16"/>
      <c r="I90" s="15"/>
      <c r="J90" s="15"/>
      <c r="K90" s="15"/>
      <c r="L90" s="15"/>
      <c r="M90" s="15"/>
      <c r="N90" s="14"/>
      <c r="O90" s="14"/>
    </row>
    <row r="91" spans="1:15" x14ac:dyDescent="0.25">
      <c r="A91" s="12"/>
      <c r="B91" s="12"/>
      <c r="C91" s="13"/>
      <c r="D91" s="12"/>
      <c r="E91" s="12"/>
      <c r="F91" s="12"/>
      <c r="G91" s="12"/>
      <c r="H91" s="13"/>
      <c r="I91" s="12"/>
      <c r="J91" s="12"/>
      <c r="K91" s="12"/>
      <c r="L91" s="12"/>
      <c r="M91" s="12"/>
      <c r="N91" s="14"/>
      <c r="O91" s="14"/>
    </row>
    <row r="92" spans="1:15" x14ac:dyDescent="0.25">
      <c r="A92" s="15"/>
      <c r="B92" s="15"/>
      <c r="C92" s="16"/>
      <c r="D92" s="15"/>
      <c r="E92" s="15"/>
      <c r="F92" s="15"/>
      <c r="G92" s="15"/>
      <c r="H92" s="16"/>
      <c r="I92" s="15"/>
      <c r="J92" s="15"/>
      <c r="K92" s="15"/>
      <c r="L92" s="15"/>
      <c r="M92" s="15"/>
      <c r="N92" s="14"/>
      <c r="O92" s="14"/>
    </row>
    <row r="93" spans="1:15" x14ac:dyDescent="0.25">
      <c r="A93" s="12"/>
      <c r="B93" s="12"/>
      <c r="C93" s="13"/>
      <c r="D93" s="12"/>
      <c r="E93" s="12"/>
      <c r="F93" s="12"/>
      <c r="G93" s="12"/>
      <c r="H93" s="13"/>
      <c r="I93" s="12"/>
      <c r="J93" s="12"/>
      <c r="K93" s="12"/>
      <c r="L93" s="12"/>
      <c r="M93" s="12"/>
      <c r="N93" s="14"/>
      <c r="O93" s="14"/>
    </row>
    <row r="94" spans="1:15" x14ac:dyDescent="0.25">
      <c r="A94" s="15"/>
      <c r="B94" s="15"/>
      <c r="C94" s="16"/>
      <c r="D94" s="15"/>
      <c r="E94" s="15"/>
      <c r="F94" s="15"/>
      <c r="G94" s="15"/>
      <c r="H94" s="16"/>
      <c r="I94" s="15"/>
      <c r="J94" s="15"/>
      <c r="K94" s="15"/>
      <c r="L94" s="15"/>
      <c r="M94" s="15"/>
      <c r="N94" s="14"/>
      <c r="O94" s="14"/>
    </row>
    <row r="95" spans="1:15" x14ac:dyDescent="0.25">
      <c r="A95" s="12"/>
      <c r="B95" s="12"/>
      <c r="C95" s="13"/>
      <c r="D95" s="12"/>
      <c r="E95" s="12"/>
      <c r="F95" s="12"/>
      <c r="G95" s="12"/>
      <c r="H95" s="13"/>
      <c r="I95" s="12"/>
      <c r="J95" s="12"/>
      <c r="K95" s="12"/>
      <c r="L95" s="12"/>
      <c r="M95" s="12"/>
      <c r="N95" s="14"/>
      <c r="O95" s="14"/>
    </row>
    <row r="96" spans="1:15" x14ac:dyDescent="0.25">
      <c r="A96" s="15"/>
      <c r="B96" s="15"/>
      <c r="C96" s="16"/>
      <c r="D96" s="15"/>
      <c r="E96" s="15"/>
      <c r="F96" s="15"/>
      <c r="G96" s="15"/>
      <c r="H96" s="16"/>
      <c r="I96" s="15"/>
      <c r="J96" s="15"/>
      <c r="K96" s="15"/>
      <c r="L96" s="15"/>
      <c r="M96" s="15"/>
      <c r="N96" s="14"/>
      <c r="O96" s="14"/>
    </row>
    <row r="97" spans="1:15" x14ac:dyDescent="0.25">
      <c r="A97" s="12"/>
      <c r="B97" s="12"/>
      <c r="C97" s="13"/>
      <c r="D97" s="12"/>
      <c r="E97" s="12"/>
      <c r="F97" s="12"/>
      <c r="G97" s="12"/>
      <c r="H97" s="13"/>
      <c r="I97" s="12"/>
      <c r="J97" s="12"/>
      <c r="K97" s="12"/>
      <c r="L97" s="12"/>
      <c r="M97" s="12"/>
      <c r="N97" s="14"/>
      <c r="O97" s="14"/>
    </row>
    <row r="98" spans="1:15" x14ac:dyDescent="0.25">
      <c r="A98" s="15"/>
      <c r="B98" s="15"/>
      <c r="C98" s="16"/>
      <c r="D98" s="15"/>
      <c r="E98" s="15"/>
      <c r="F98" s="15"/>
      <c r="G98" s="15"/>
      <c r="H98" s="16"/>
      <c r="I98" s="15"/>
      <c r="J98" s="15"/>
      <c r="K98" s="15"/>
      <c r="L98" s="15"/>
      <c r="M98" s="15"/>
      <c r="N98" s="14"/>
      <c r="O98" s="14"/>
    </row>
    <row r="99" spans="1:15" x14ac:dyDescent="0.25">
      <c r="A99" s="12"/>
      <c r="B99" s="12"/>
      <c r="C99" s="13"/>
      <c r="D99" s="12"/>
      <c r="E99" s="12"/>
      <c r="F99" s="12"/>
      <c r="G99" s="12"/>
      <c r="H99" s="13"/>
      <c r="I99" s="12"/>
      <c r="J99" s="12"/>
      <c r="K99" s="12"/>
      <c r="L99" s="12"/>
      <c r="M99" s="12"/>
      <c r="N99" s="14"/>
      <c r="O99" s="14"/>
    </row>
    <row r="100" spans="1:15" x14ac:dyDescent="0.25">
      <c r="A100" s="15"/>
      <c r="B100" s="15"/>
      <c r="C100" s="16"/>
      <c r="D100" s="15"/>
      <c r="E100" s="15"/>
      <c r="F100" s="15"/>
      <c r="G100" s="15"/>
      <c r="H100" s="16"/>
      <c r="I100" s="15"/>
      <c r="J100" s="15"/>
      <c r="K100" s="15"/>
      <c r="L100" s="15"/>
      <c r="M100" s="15"/>
      <c r="N100" s="14"/>
      <c r="O100" s="14"/>
    </row>
    <row r="101" spans="1:15" x14ac:dyDescent="0.25">
      <c r="A101" s="12"/>
      <c r="B101" s="12"/>
      <c r="C101" s="13"/>
      <c r="D101" s="12"/>
      <c r="E101" s="12"/>
      <c r="F101" s="12"/>
      <c r="G101" s="12"/>
      <c r="H101" s="13"/>
      <c r="I101" s="12"/>
      <c r="J101" s="12"/>
      <c r="K101" s="12"/>
      <c r="L101" s="12"/>
      <c r="M101" s="12"/>
      <c r="N101" s="14"/>
      <c r="O101" s="14"/>
    </row>
    <row r="102" spans="1:15" x14ac:dyDescent="0.25">
      <c r="A102" s="15"/>
      <c r="B102" s="15"/>
      <c r="C102" s="16"/>
      <c r="D102" s="15"/>
      <c r="E102" s="15"/>
      <c r="F102" s="15"/>
      <c r="G102" s="15"/>
      <c r="H102" s="16"/>
      <c r="I102" s="15"/>
      <c r="J102" s="15"/>
      <c r="K102" s="15"/>
      <c r="L102" s="15"/>
      <c r="M102" s="15"/>
      <c r="N102" s="14"/>
      <c r="O102" s="14"/>
    </row>
    <row r="103" spans="1:15" x14ac:dyDescent="0.25">
      <c r="A103" s="12"/>
      <c r="B103" s="12"/>
      <c r="C103" s="13"/>
      <c r="D103" s="12"/>
      <c r="E103" s="12"/>
      <c r="F103" s="12"/>
      <c r="G103" s="12"/>
      <c r="H103" s="13"/>
      <c r="I103" s="12"/>
      <c r="J103" s="12"/>
      <c r="K103" s="12"/>
      <c r="L103" s="12"/>
      <c r="M103" s="12"/>
      <c r="N103" s="14"/>
      <c r="O103" s="14"/>
    </row>
    <row r="104" spans="1:15" x14ac:dyDescent="0.25">
      <c r="A104" s="15"/>
      <c r="B104" s="15"/>
      <c r="C104" s="16"/>
      <c r="D104" s="15"/>
      <c r="E104" s="15"/>
      <c r="F104" s="15"/>
      <c r="G104" s="15"/>
      <c r="H104" s="16"/>
      <c r="I104" s="15"/>
      <c r="J104" s="15"/>
      <c r="K104" s="15"/>
      <c r="L104" s="15"/>
      <c r="M104" s="15"/>
      <c r="N104" s="14"/>
      <c r="O104" s="14"/>
    </row>
    <row r="105" spans="1:15" x14ac:dyDescent="0.25">
      <c r="A105" s="12"/>
      <c r="B105" s="12"/>
      <c r="C105" s="13"/>
      <c r="D105" s="12"/>
      <c r="E105" s="12"/>
      <c r="F105" s="12"/>
      <c r="G105" s="12"/>
      <c r="H105" s="13"/>
      <c r="I105" s="12"/>
      <c r="J105" s="12"/>
      <c r="K105" s="12"/>
      <c r="L105" s="12"/>
      <c r="M105" s="12"/>
      <c r="N105" s="14"/>
      <c r="O105" s="14"/>
    </row>
    <row r="106" spans="1:15" x14ac:dyDescent="0.25">
      <c r="A106" s="15"/>
      <c r="B106" s="15"/>
      <c r="C106" s="16"/>
      <c r="D106" s="15"/>
      <c r="E106" s="15"/>
      <c r="F106" s="15"/>
      <c r="G106" s="15"/>
      <c r="H106" s="16"/>
      <c r="I106" s="15"/>
      <c r="J106" s="15"/>
      <c r="K106" s="15"/>
      <c r="L106" s="15"/>
      <c r="M106" s="15"/>
      <c r="N106" s="14"/>
      <c r="O106" s="14"/>
    </row>
    <row r="107" spans="1:15" x14ac:dyDescent="0.25">
      <c r="A107" s="12"/>
      <c r="B107" s="12"/>
      <c r="C107" s="13"/>
      <c r="D107" s="12"/>
      <c r="E107" s="12"/>
      <c r="F107" s="12"/>
      <c r="G107" s="12"/>
      <c r="H107" s="13"/>
      <c r="I107" s="12"/>
      <c r="J107" s="12"/>
      <c r="K107" s="12"/>
      <c r="L107" s="12"/>
      <c r="M107" s="12"/>
      <c r="N107" s="14"/>
      <c r="O107" s="14"/>
    </row>
    <row r="108" spans="1:15" x14ac:dyDescent="0.25">
      <c r="A108" s="15"/>
      <c r="B108" s="15"/>
      <c r="C108" s="16"/>
      <c r="D108" s="15"/>
      <c r="E108" s="15"/>
      <c r="F108" s="15"/>
      <c r="G108" s="15"/>
      <c r="H108" s="16"/>
      <c r="I108" s="15"/>
      <c r="J108" s="15"/>
      <c r="K108" s="15"/>
      <c r="L108" s="15"/>
      <c r="M108" s="15"/>
      <c r="N108" s="14"/>
      <c r="O108" s="14"/>
    </row>
    <row r="109" spans="1:15" x14ac:dyDescent="0.25">
      <c r="A109" s="12"/>
      <c r="B109" s="12"/>
      <c r="C109" s="13"/>
      <c r="D109" s="12"/>
      <c r="E109" s="12"/>
      <c r="F109" s="12"/>
      <c r="G109" s="12"/>
      <c r="H109" s="13"/>
      <c r="I109" s="12"/>
      <c r="J109" s="12"/>
      <c r="K109" s="12"/>
      <c r="L109" s="12"/>
      <c r="M109" s="12"/>
      <c r="N109" s="14"/>
      <c r="O109" s="14"/>
    </row>
    <row r="110" spans="1:15" x14ac:dyDescent="0.25">
      <c r="A110" s="15"/>
      <c r="B110" s="15"/>
      <c r="C110" s="16"/>
      <c r="D110" s="15"/>
      <c r="E110" s="15"/>
      <c r="F110" s="15"/>
      <c r="G110" s="15"/>
      <c r="H110" s="16"/>
      <c r="I110" s="15"/>
      <c r="J110" s="15"/>
      <c r="K110" s="15"/>
      <c r="L110" s="15"/>
      <c r="M110" s="15"/>
      <c r="N110" s="14"/>
      <c r="O110" s="14"/>
    </row>
    <row r="111" spans="1:15" x14ac:dyDescent="0.25">
      <c r="A111" s="12"/>
      <c r="B111" s="12"/>
      <c r="C111" s="13"/>
      <c r="D111" s="12"/>
      <c r="E111" s="12"/>
      <c r="F111" s="12"/>
      <c r="G111" s="12"/>
      <c r="H111" s="13"/>
      <c r="I111" s="12"/>
      <c r="J111" s="12"/>
      <c r="K111" s="12"/>
      <c r="L111" s="12"/>
      <c r="M111" s="12"/>
      <c r="N111" s="14"/>
      <c r="O111" s="14"/>
    </row>
    <row r="112" spans="1:15" x14ac:dyDescent="0.25">
      <c r="A112" s="15"/>
      <c r="B112" s="15"/>
      <c r="C112" s="16"/>
      <c r="D112" s="15"/>
      <c r="E112" s="15"/>
      <c r="F112" s="15"/>
      <c r="G112" s="15"/>
      <c r="H112" s="16"/>
      <c r="I112" s="15"/>
      <c r="J112" s="15"/>
      <c r="K112" s="15"/>
      <c r="L112" s="15"/>
      <c r="M112" s="15"/>
      <c r="N112" s="14"/>
      <c r="O112" s="14"/>
    </row>
    <row r="113" spans="1:15" x14ac:dyDescent="0.25">
      <c r="A113" s="12"/>
      <c r="B113" s="12"/>
      <c r="C113" s="13"/>
      <c r="D113" s="12"/>
      <c r="E113" s="12"/>
      <c r="F113" s="12"/>
      <c r="G113" s="12"/>
      <c r="H113" s="13"/>
      <c r="I113" s="12"/>
      <c r="J113" s="12"/>
      <c r="K113" s="12"/>
      <c r="L113" s="12"/>
      <c r="M113" s="12"/>
      <c r="N113" s="14"/>
      <c r="O113" s="14"/>
    </row>
    <row r="114" spans="1:15" x14ac:dyDescent="0.25">
      <c r="A114" s="15"/>
      <c r="B114" s="15"/>
      <c r="C114" s="16"/>
      <c r="D114" s="15"/>
      <c r="E114" s="15"/>
      <c r="F114" s="15"/>
      <c r="G114" s="15"/>
      <c r="H114" s="16"/>
      <c r="I114" s="15"/>
      <c r="J114" s="15"/>
      <c r="K114" s="15"/>
      <c r="L114" s="15"/>
      <c r="M114" s="15"/>
      <c r="N114" s="14"/>
      <c r="O114" s="14"/>
    </row>
    <row r="115" spans="1:15" x14ac:dyDescent="0.25">
      <c r="A115" s="12"/>
      <c r="B115" s="12"/>
      <c r="C115" s="13"/>
      <c r="D115" s="12"/>
      <c r="E115" s="12"/>
      <c r="F115" s="12"/>
      <c r="G115" s="12"/>
      <c r="H115" s="13"/>
      <c r="I115" s="12"/>
      <c r="J115" s="12"/>
      <c r="K115" s="12"/>
      <c r="L115" s="12"/>
      <c r="M115" s="12"/>
      <c r="N115" s="14"/>
      <c r="O115" s="14"/>
    </row>
    <row r="116" spans="1:15" x14ac:dyDescent="0.25">
      <c r="A116" s="15"/>
      <c r="B116" s="15"/>
      <c r="C116" s="16"/>
      <c r="D116" s="15"/>
      <c r="E116" s="15"/>
      <c r="F116" s="15"/>
      <c r="G116" s="15"/>
      <c r="H116" s="16"/>
      <c r="I116" s="15"/>
      <c r="J116" s="15"/>
      <c r="K116" s="15"/>
      <c r="L116" s="15"/>
      <c r="M116" s="15"/>
      <c r="N116" s="14"/>
      <c r="O116" s="14"/>
    </row>
    <row r="117" spans="1:15" x14ac:dyDescent="0.25">
      <c r="A117" s="12"/>
      <c r="B117" s="12"/>
      <c r="C117" s="13"/>
      <c r="D117" s="12"/>
      <c r="E117" s="12"/>
      <c r="F117" s="12"/>
      <c r="G117" s="12"/>
      <c r="H117" s="13"/>
      <c r="I117" s="12"/>
      <c r="J117" s="12"/>
      <c r="K117" s="12"/>
      <c r="L117" s="12"/>
      <c r="M117" s="12"/>
      <c r="N117" s="14"/>
      <c r="O117" s="14"/>
    </row>
    <row r="118" spans="1:15" x14ac:dyDescent="0.25">
      <c r="A118" s="15"/>
      <c r="B118" s="15"/>
      <c r="C118" s="16"/>
      <c r="D118" s="15"/>
      <c r="E118" s="15"/>
      <c r="F118" s="15"/>
      <c r="G118" s="15"/>
      <c r="H118" s="16"/>
      <c r="I118" s="15"/>
      <c r="J118" s="15"/>
      <c r="K118" s="15"/>
      <c r="L118" s="15"/>
      <c r="M118" s="15"/>
      <c r="N118" s="14"/>
      <c r="O118" s="14"/>
    </row>
    <row r="119" spans="1:15" x14ac:dyDescent="0.25">
      <c r="A119" s="12"/>
      <c r="B119" s="12"/>
      <c r="C119" s="13"/>
      <c r="D119" s="12"/>
      <c r="E119" s="12"/>
      <c r="F119" s="12"/>
      <c r="G119" s="12"/>
      <c r="H119" s="13"/>
      <c r="I119" s="12"/>
      <c r="J119" s="12"/>
      <c r="K119" s="12"/>
      <c r="L119" s="12"/>
      <c r="M119" s="12"/>
      <c r="N119" s="14"/>
      <c r="O119" s="14"/>
    </row>
    <row r="120" spans="1:15" x14ac:dyDescent="0.25">
      <c r="A120" s="15"/>
      <c r="B120" s="15"/>
      <c r="C120" s="16"/>
      <c r="D120" s="15"/>
      <c r="E120" s="15"/>
      <c r="F120" s="15"/>
      <c r="G120" s="15"/>
      <c r="H120" s="16"/>
      <c r="I120" s="15"/>
      <c r="J120" s="15"/>
      <c r="K120" s="15"/>
      <c r="L120" s="15"/>
      <c r="M120" s="15"/>
      <c r="N120" s="14"/>
      <c r="O120" s="14"/>
    </row>
    <row r="121" spans="1:15" x14ac:dyDescent="0.25">
      <c r="A121" s="12"/>
      <c r="B121" s="12"/>
      <c r="C121" s="13"/>
      <c r="D121" s="12"/>
      <c r="E121" s="12"/>
      <c r="F121" s="12"/>
      <c r="G121" s="12"/>
      <c r="H121" s="13"/>
      <c r="I121" s="12"/>
      <c r="J121" s="12"/>
      <c r="K121" s="12"/>
      <c r="L121" s="12"/>
      <c r="M121" s="12"/>
      <c r="N121" s="14"/>
      <c r="O121" s="14"/>
    </row>
    <row r="122" spans="1:15" x14ac:dyDescent="0.25">
      <c r="A122" s="15"/>
      <c r="B122" s="15"/>
      <c r="C122" s="16"/>
      <c r="D122" s="15"/>
      <c r="E122" s="15"/>
      <c r="F122" s="15"/>
      <c r="G122" s="15"/>
      <c r="H122" s="16"/>
      <c r="I122" s="15"/>
      <c r="J122" s="15"/>
      <c r="K122" s="15"/>
      <c r="L122" s="15"/>
      <c r="M122" s="15"/>
      <c r="N122" s="14"/>
      <c r="O122" s="14"/>
    </row>
    <row r="123" spans="1:15" x14ac:dyDescent="0.25">
      <c r="A123" s="12"/>
      <c r="B123" s="12"/>
      <c r="C123" s="13"/>
      <c r="D123" s="12"/>
      <c r="E123" s="12"/>
      <c r="F123" s="12"/>
      <c r="G123" s="12"/>
      <c r="H123" s="13"/>
      <c r="I123" s="12"/>
      <c r="J123" s="12"/>
      <c r="K123" s="12"/>
      <c r="L123" s="12"/>
      <c r="M123" s="12"/>
      <c r="N123" s="14"/>
      <c r="O123" s="14"/>
    </row>
    <row r="124" spans="1:15" x14ac:dyDescent="0.25">
      <c r="A124" s="15"/>
      <c r="B124" s="15"/>
      <c r="C124" s="16"/>
      <c r="D124" s="15"/>
      <c r="E124" s="15"/>
      <c r="F124" s="15"/>
      <c r="G124" s="15"/>
      <c r="H124" s="16"/>
      <c r="I124" s="15"/>
      <c r="J124" s="15"/>
      <c r="K124" s="15"/>
      <c r="L124" s="15"/>
      <c r="M124" s="15"/>
      <c r="N124" s="14"/>
      <c r="O124" s="14"/>
    </row>
    <row r="125" spans="1:15" x14ac:dyDescent="0.25">
      <c r="A125" s="12"/>
      <c r="B125" s="12"/>
      <c r="C125" s="13"/>
      <c r="D125" s="12"/>
      <c r="E125" s="12"/>
      <c r="F125" s="12"/>
      <c r="G125" s="12"/>
      <c r="H125" s="13"/>
      <c r="I125" s="12"/>
      <c r="J125" s="12"/>
      <c r="K125" s="12"/>
      <c r="L125" s="12"/>
      <c r="M125" s="12"/>
      <c r="N125" s="14"/>
      <c r="O125" s="14"/>
    </row>
    <row r="126" spans="1:15" x14ac:dyDescent="0.25">
      <c r="A126" s="15"/>
      <c r="B126" s="15"/>
      <c r="C126" s="16"/>
      <c r="D126" s="15"/>
      <c r="E126" s="15"/>
      <c r="F126" s="15"/>
      <c r="G126" s="15"/>
      <c r="H126" s="16"/>
      <c r="I126" s="15"/>
      <c r="J126" s="15"/>
      <c r="K126" s="15"/>
      <c r="L126" s="15"/>
      <c r="M126" s="15"/>
      <c r="N126" s="14"/>
      <c r="O126" s="14"/>
    </row>
    <row r="127" spans="1:15" x14ac:dyDescent="0.25">
      <c r="A127" s="12"/>
      <c r="B127" s="12"/>
      <c r="C127" s="13"/>
      <c r="D127" s="12"/>
      <c r="E127" s="12"/>
      <c r="F127" s="12"/>
      <c r="G127" s="12"/>
      <c r="H127" s="13"/>
      <c r="I127" s="12"/>
      <c r="J127" s="12"/>
      <c r="K127" s="12"/>
      <c r="L127" s="12"/>
      <c r="M127" s="12"/>
      <c r="N127" s="14"/>
      <c r="O127" s="14"/>
    </row>
    <row r="128" spans="1:15" x14ac:dyDescent="0.25">
      <c r="A128" s="15"/>
      <c r="B128" s="15"/>
      <c r="C128" s="16"/>
      <c r="D128" s="15"/>
      <c r="E128" s="15"/>
      <c r="F128" s="15"/>
      <c r="G128" s="15"/>
      <c r="H128" s="16"/>
      <c r="I128" s="15"/>
      <c r="J128" s="15"/>
      <c r="K128" s="15"/>
      <c r="L128" s="15"/>
      <c r="M128" s="15"/>
      <c r="N128" s="14"/>
      <c r="O128" s="14"/>
    </row>
    <row r="129" spans="1:15" x14ac:dyDescent="0.25">
      <c r="A129" s="12"/>
      <c r="B129" s="12"/>
      <c r="C129" s="13"/>
      <c r="D129" s="12"/>
      <c r="E129" s="12"/>
      <c r="F129" s="12"/>
      <c r="G129" s="12"/>
      <c r="H129" s="13"/>
      <c r="I129" s="12"/>
      <c r="J129" s="12"/>
      <c r="K129" s="12"/>
      <c r="L129" s="12"/>
      <c r="M129" s="12"/>
      <c r="N129" s="14"/>
      <c r="O129" s="14"/>
    </row>
    <row r="130" spans="1:15" x14ac:dyDescent="0.25">
      <c r="A130" s="15"/>
      <c r="B130" s="15"/>
      <c r="C130" s="16"/>
      <c r="D130" s="15"/>
      <c r="E130" s="15"/>
      <c r="F130" s="15"/>
      <c r="G130" s="15"/>
      <c r="H130" s="16"/>
      <c r="I130" s="15"/>
      <c r="J130" s="15"/>
      <c r="K130" s="15"/>
      <c r="L130" s="15"/>
      <c r="M130" s="15"/>
      <c r="N130" s="14"/>
      <c r="O130" s="14"/>
    </row>
    <row r="131" spans="1:15" x14ac:dyDescent="0.25">
      <c r="A131" s="12"/>
      <c r="B131" s="12"/>
      <c r="C131" s="13"/>
      <c r="D131" s="12"/>
      <c r="E131" s="12"/>
      <c r="F131" s="12"/>
      <c r="G131" s="12"/>
      <c r="H131" s="13"/>
      <c r="I131" s="12"/>
      <c r="J131" s="12"/>
      <c r="K131" s="12"/>
      <c r="L131" s="12"/>
      <c r="M131" s="12"/>
      <c r="N131" s="14"/>
      <c r="O131" s="14"/>
    </row>
    <row r="132" spans="1:15" x14ac:dyDescent="0.25">
      <c r="A132" s="15"/>
      <c r="B132" s="15"/>
      <c r="C132" s="16"/>
      <c r="D132" s="15"/>
      <c r="E132" s="15"/>
      <c r="F132" s="15"/>
      <c r="G132" s="15"/>
      <c r="H132" s="16"/>
      <c r="I132" s="15"/>
      <c r="J132" s="15"/>
      <c r="K132" s="15"/>
      <c r="L132" s="15"/>
      <c r="M132" s="15"/>
      <c r="N132" s="14"/>
      <c r="O132" s="14"/>
    </row>
    <row r="133" spans="1:15" x14ac:dyDescent="0.25">
      <c r="A133" s="12"/>
      <c r="B133" s="12"/>
      <c r="C133" s="13"/>
      <c r="D133" s="12"/>
      <c r="E133" s="12"/>
      <c r="F133" s="12"/>
      <c r="G133" s="12"/>
      <c r="H133" s="13"/>
      <c r="I133" s="12"/>
      <c r="J133" s="12"/>
      <c r="K133" s="12"/>
      <c r="L133" s="12"/>
      <c r="M133" s="12"/>
      <c r="N133" s="14"/>
      <c r="O133" s="14"/>
    </row>
    <row r="134" spans="1:15" x14ac:dyDescent="0.25">
      <c r="A134" s="15"/>
      <c r="B134" s="15"/>
      <c r="C134" s="16"/>
      <c r="D134" s="15"/>
      <c r="E134" s="15"/>
      <c r="F134" s="15"/>
      <c r="G134" s="15"/>
      <c r="H134" s="16"/>
      <c r="I134" s="15"/>
      <c r="J134" s="15"/>
      <c r="K134" s="15"/>
      <c r="L134" s="15"/>
      <c r="M134" s="15"/>
      <c r="N134" s="14"/>
      <c r="O134" s="14"/>
    </row>
    <row r="135" spans="1:15" x14ac:dyDescent="0.25">
      <c r="A135" s="12"/>
      <c r="B135" s="12"/>
      <c r="C135" s="13"/>
      <c r="D135" s="12"/>
      <c r="E135" s="12"/>
      <c r="F135" s="12"/>
      <c r="G135" s="12"/>
      <c r="H135" s="13"/>
      <c r="I135" s="12"/>
      <c r="J135" s="12"/>
      <c r="K135" s="12"/>
      <c r="L135" s="12"/>
      <c r="M135" s="12"/>
      <c r="N135" s="14"/>
      <c r="O135" s="14"/>
    </row>
    <row r="136" spans="1:15" x14ac:dyDescent="0.25">
      <c r="A136" s="15"/>
      <c r="B136" s="15"/>
      <c r="C136" s="16"/>
      <c r="D136" s="15"/>
      <c r="E136" s="15"/>
      <c r="F136" s="15"/>
      <c r="G136" s="15"/>
      <c r="H136" s="16"/>
      <c r="I136" s="15"/>
      <c r="J136" s="15"/>
      <c r="K136" s="15"/>
      <c r="L136" s="15"/>
      <c r="M136" s="15"/>
      <c r="N136" s="14"/>
      <c r="O136" s="14"/>
    </row>
    <row r="137" spans="1:15" x14ac:dyDescent="0.25">
      <c r="A137" s="12"/>
      <c r="B137" s="12"/>
      <c r="C137" s="13"/>
      <c r="D137" s="12"/>
      <c r="E137" s="12"/>
      <c r="F137" s="12"/>
      <c r="G137" s="12"/>
      <c r="H137" s="13"/>
      <c r="I137" s="12"/>
      <c r="J137" s="12"/>
      <c r="K137" s="12"/>
      <c r="L137" s="12"/>
      <c r="M137" s="12"/>
      <c r="N137" s="14"/>
      <c r="O137" s="14"/>
    </row>
    <row r="138" spans="1:15" x14ac:dyDescent="0.25">
      <c r="A138" s="15"/>
      <c r="B138" s="15"/>
      <c r="C138" s="16"/>
      <c r="D138" s="15"/>
      <c r="E138" s="15"/>
      <c r="F138" s="15"/>
      <c r="G138" s="15"/>
      <c r="H138" s="16"/>
      <c r="I138" s="15"/>
      <c r="J138" s="15"/>
      <c r="K138" s="15"/>
      <c r="L138" s="15"/>
      <c r="M138" s="15"/>
      <c r="N138" s="14"/>
      <c r="O138" s="14"/>
    </row>
    <row r="139" spans="1:15" x14ac:dyDescent="0.25">
      <c r="A139" s="12"/>
      <c r="B139" s="12"/>
      <c r="C139" s="13"/>
      <c r="D139" s="12"/>
      <c r="E139" s="12"/>
      <c r="F139" s="12"/>
      <c r="G139" s="12"/>
      <c r="H139" s="13"/>
      <c r="I139" s="12"/>
      <c r="J139" s="12"/>
      <c r="K139" s="12"/>
      <c r="L139" s="12"/>
      <c r="M139" s="12"/>
      <c r="N139" s="14"/>
      <c r="O139" s="14"/>
    </row>
    <row r="140" spans="1:15" x14ac:dyDescent="0.25">
      <c r="A140" s="15"/>
      <c r="B140" s="15"/>
      <c r="C140" s="16"/>
      <c r="D140" s="15"/>
      <c r="E140" s="15"/>
      <c r="F140" s="15"/>
      <c r="G140" s="15"/>
      <c r="H140" s="16"/>
      <c r="I140" s="15"/>
      <c r="J140" s="15"/>
      <c r="K140" s="15"/>
      <c r="L140" s="15"/>
      <c r="M140" s="15"/>
      <c r="N140" s="14"/>
      <c r="O140" s="14"/>
    </row>
    <row r="141" spans="1:15" x14ac:dyDescent="0.25">
      <c r="A141" s="12"/>
      <c r="B141" s="12"/>
      <c r="C141" s="13"/>
      <c r="D141" s="12"/>
      <c r="E141" s="12"/>
      <c r="F141" s="12"/>
      <c r="G141" s="12"/>
      <c r="H141" s="13"/>
      <c r="I141" s="12"/>
      <c r="J141" s="12"/>
      <c r="K141" s="12"/>
      <c r="L141" s="12"/>
      <c r="M141" s="12"/>
      <c r="N141" s="14"/>
      <c r="O141" s="14"/>
    </row>
    <row r="142" spans="1:15" x14ac:dyDescent="0.25">
      <c r="A142" s="15"/>
      <c r="B142" s="15"/>
      <c r="C142" s="16"/>
      <c r="D142" s="15"/>
      <c r="E142" s="15"/>
      <c r="F142" s="15"/>
      <c r="G142" s="15"/>
      <c r="H142" s="16"/>
      <c r="I142" s="15"/>
      <c r="J142" s="15"/>
      <c r="K142" s="15"/>
      <c r="L142" s="15"/>
      <c r="M142" s="15"/>
      <c r="N142" s="14"/>
      <c r="O142" s="14"/>
    </row>
    <row r="143" spans="1:15" x14ac:dyDescent="0.25">
      <c r="A143" s="12"/>
      <c r="B143" s="12"/>
      <c r="C143" s="13"/>
      <c r="D143" s="12"/>
      <c r="E143" s="12"/>
      <c r="F143" s="12"/>
      <c r="G143" s="12"/>
      <c r="H143" s="13"/>
      <c r="I143" s="12"/>
      <c r="J143" s="12"/>
      <c r="K143" s="12"/>
      <c r="L143" s="12"/>
      <c r="M143" s="12"/>
      <c r="N143" s="14"/>
      <c r="O143" s="14"/>
    </row>
    <row r="144" spans="1:15" x14ac:dyDescent="0.25">
      <c r="A144" s="15"/>
      <c r="B144" s="15"/>
      <c r="C144" s="16"/>
      <c r="D144" s="15"/>
      <c r="E144" s="15"/>
      <c r="F144" s="15"/>
      <c r="G144" s="15"/>
      <c r="H144" s="16"/>
      <c r="I144" s="15"/>
      <c r="J144" s="15"/>
      <c r="K144" s="15"/>
      <c r="L144" s="15"/>
      <c r="M144" s="15"/>
      <c r="N144" s="14"/>
      <c r="O144" s="14"/>
    </row>
    <row r="145" spans="1:15" x14ac:dyDescent="0.25">
      <c r="A145" s="12"/>
      <c r="B145" s="12"/>
      <c r="C145" s="13"/>
      <c r="D145" s="12"/>
      <c r="E145" s="12"/>
      <c r="F145" s="12"/>
      <c r="G145" s="12"/>
      <c r="H145" s="13"/>
      <c r="I145" s="12"/>
      <c r="J145" s="12"/>
      <c r="K145" s="12"/>
      <c r="L145" s="12"/>
      <c r="M145" s="12"/>
      <c r="N145" s="14"/>
      <c r="O145" s="14"/>
    </row>
    <row r="146" spans="1:15" x14ac:dyDescent="0.25">
      <c r="A146" s="15"/>
      <c r="B146" s="15"/>
      <c r="C146" s="16"/>
      <c r="D146" s="15"/>
      <c r="E146" s="15"/>
      <c r="F146" s="15"/>
      <c r="G146" s="15"/>
      <c r="H146" s="16"/>
      <c r="I146" s="15"/>
      <c r="J146" s="15"/>
      <c r="K146" s="15"/>
      <c r="L146" s="15"/>
      <c r="M146" s="15"/>
      <c r="N146" s="14"/>
      <c r="O146" s="14"/>
    </row>
    <row r="147" spans="1:15" x14ac:dyDescent="0.25">
      <c r="A147" s="12"/>
      <c r="B147" s="12"/>
      <c r="C147" s="13"/>
      <c r="D147" s="12"/>
      <c r="E147" s="12"/>
      <c r="F147" s="12"/>
      <c r="G147" s="12"/>
      <c r="H147" s="13"/>
      <c r="I147" s="12"/>
      <c r="J147" s="12"/>
      <c r="K147" s="12"/>
      <c r="L147" s="12"/>
      <c r="M147" s="12"/>
      <c r="N147" s="14"/>
      <c r="O147" s="14"/>
    </row>
    <row r="148" spans="1:15" x14ac:dyDescent="0.25">
      <c r="A148" s="15"/>
      <c r="B148" s="15"/>
      <c r="C148" s="16"/>
      <c r="D148" s="15"/>
      <c r="E148" s="15"/>
      <c r="F148" s="15"/>
      <c r="G148" s="15"/>
      <c r="H148" s="16"/>
      <c r="I148" s="15"/>
      <c r="J148" s="15"/>
      <c r="K148" s="15"/>
      <c r="L148" s="15"/>
      <c r="M148" s="15"/>
      <c r="N148" s="14"/>
      <c r="O148" s="14"/>
    </row>
    <row r="149" spans="1:15" x14ac:dyDescent="0.25">
      <c r="A149" s="12"/>
      <c r="B149" s="12"/>
      <c r="C149" s="13"/>
      <c r="D149" s="12"/>
      <c r="E149" s="12"/>
      <c r="F149" s="12"/>
      <c r="G149" s="12"/>
      <c r="H149" s="13"/>
      <c r="I149" s="12"/>
      <c r="J149" s="12"/>
      <c r="K149" s="12"/>
      <c r="L149" s="12"/>
      <c r="M149" s="12"/>
      <c r="N149" s="14"/>
      <c r="O149" s="14"/>
    </row>
    <row r="150" spans="1:15" x14ac:dyDescent="0.25">
      <c r="A150" s="15"/>
      <c r="B150" s="15"/>
      <c r="C150" s="16"/>
      <c r="D150" s="15"/>
      <c r="E150" s="15"/>
      <c r="F150" s="15"/>
      <c r="G150" s="15"/>
      <c r="H150" s="16"/>
      <c r="I150" s="15"/>
      <c r="J150" s="15"/>
      <c r="K150" s="15"/>
      <c r="L150" s="15"/>
      <c r="M150" s="15"/>
      <c r="N150" s="14"/>
      <c r="O150" s="14"/>
    </row>
    <row r="151" spans="1:15" x14ac:dyDescent="0.25">
      <c r="A151" s="12"/>
      <c r="B151" s="12"/>
      <c r="C151" s="13"/>
      <c r="D151" s="12"/>
      <c r="E151" s="12"/>
      <c r="F151" s="12"/>
      <c r="G151" s="12"/>
      <c r="H151" s="13"/>
      <c r="I151" s="12"/>
      <c r="J151" s="12"/>
      <c r="K151" s="12"/>
      <c r="L151" s="12"/>
      <c r="M151" s="12"/>
      <c r="N151" s="14"/>
      <c r="O151" s="14"/>
    </row>
    <row r="152" spans="1:15" x14ac:dyDescent="0.25">
      <c r="A152" s="15"/>
      <c r="B152" s="15"/>
      <c r="C152" s="16"/>
      <c r="D152" s="15"/>
      <c r="E152" s="15"/>
      <c r="F152" s="15"/>
      <c r="G152" s="15"/>
      <c r="H152" s="16"/>
      <c r="I152" s="15"/>
      <c r="J152" s="15"/>
      <c r="K152" s="15"/>
      <c r="L152" s="15"/>
      <c r="M152" s="15"/>
      <c r="N152" s="14"/>
      <c r="O152" s="14"/>
    </row>
    <row r="153" spans="1:15" x14ac:dyDescent="0.25">
      <c r="A153" s="12"/>
      <c r="B153" s="12"/>
      <c r="C153" s="13"/>
      <c r="D153" s="12"/>
      <c r="E153" s="12"/>
      <c r="F153" s="12"/>
      <c r="G153" s="12"/>
      <c r="H153" s="13"/>
      <c r="I153" s="12"/>
      <c r="J153" s="12"/>
      <c r="K153" s="12"/>
      <c r="L153" s="12"/>
      <c r="M153" s="12"/>
      <c r="N153" s="14"/>
      <c r="O153" s="14"/>
    </row>
    <row r="154" spans="1:15" x14ac:dyDescent="0.25">
      <c r="A154" s="15"/>
      <c r="B154" s="15"/>
      <c r="C154" s="16"/>
      <c r="D154" s="15"/>
      <c r="E154" s="15"/>
      <c r="F154" s="15"/>
      <c r="G154" s="15"/>
      <c r="H154" s="16"/>
      <c r="I154" s="15"/>
      <c r="J154" s="15"/>
      <c r="K154" s="15"/>
      <c r="L154" s="15"/>
      <c r="M154" s="15"/>
      <c r="N154" s="14"/>
      <c r="O154" s="14"/>
    </row>
    <row r="155" spans="1:15" x14ac:dyDescent="0.25">
      <c r="A155" s="12"/>
      <c r="B155" s="12"/>
      <c r="C155" s="13"/>
      <c r="D155" s="12"/>
      <c r="E155" s="12"/>
      <c r="F155" s="12"/>
      <c r="G155" s="12"/>
      <c r="H155" s="13"/>
      <c r="I155" s="12"/>
      <c r="J155" s="12"/>
      <c r="K155" s="12"/>
      <c r="L155" s="12"/>
      <c r="M155" s="12"/>
      <c r="N155" s="14"/>
      <c r="O155" s="14"/>
    </row>
    <row r="156" spans="1:15" x14ac:dyDescent="0.25">
      <c r="A156" s="15"/>
      <c r="B156" s="15"/>
      <c r="C156" s="16"/>
      <c r="D156" s="15"/>
      <c r="E156" s="15"/>
      <c r="F156" s="15"/>
      <c r="G156" s="15"/>
      <c r="H156" s="16"/>
      <c r="I156" s="15"/>
      <c r="J156" s="15"/>
      <c r="K156" s="15"/>
      <c r="L156" s="15"/>
      <c r="M156" s="15"/>
      <c r="N156" s="14"/>
      <c r="O156" s="14"/>
    </row>
    <row r="157" spans="1:15" x14ac:dyDescent="0.25">
      <c r="A157" s="12"/>
      <c r="B157" s="12"/>
      <c r="C157" s="13"/>
      <c r="D157" s="12"/>
      <c r="E157" s="12"/>
      <c r="F157" s="12"/>
      <c r="G157" s="12"/>
      <c r="H157" s="13"/>
      <c r="I157" s="12"/>
      <c r="J157" s="12"/>
      <c r="K157" s="12"/>
      <c r="L157" s="12"/>
      <c r="M157" s="12"/>
      <c r="N157" s="14"/>
      <c r="O157" s="14"/>
    </row>
    <row r="158" spans="1:15" x14ac:dyDescent="0.25">
      <c r="A158" s="15"/>
      <c r="B158" s="15"/>
      <c r="C158" s="16"/>
      <c r="D158" s="15"/>
      <c r="E158" s="15"/>
      <c r="F158" s="15"/>
      <c r="G158" s="15"/>
      <c r="H158" s="16"/>
      <c r="I158" s="15"/>
      <c r="J158" s="15"/>
      <c r="K158" s="15"/>
      <c r="L158" s="15"/>
      <c r="M158" s="15"/>
      <c r="N158" s="14"/>
      <c r="O158" s="14"/>
    </row>
    <row r="159" spans="1:15" x14ac:dyDescent="0.25">
      <c r="A159" s="12"/>
      <c r="B159" s="12"/>
      <c r="C159" s="13"/>
      <c r="D159" s="12"/>
      <c r="E159" s="12"/>
      <c r="F159" s="12"/>
      <c r="G159" s="12"/>
      <c r="H159" s="13"/>
      <c r="I159" s="12"/>
      <c r="J159" s="12"/>
      <c r="K159" s="12"/>
      <c r="L159" s="12"/>
      <c r="M159" s="12"/>
      <c r="N159" s="14"/>
      <c r="O159" s="14"/>
    </row>
    <row r="160" spans="1:15" x14ac:dyDescent="0.25">
      <c r="A160" s="15"/>
      <c r="B160" s="15"/>
      <c r="C160" s="16"/>
      <c r="D160" s="15"/>
      <c r="E160" s="15"/>
      <c r="F160" s="15"/>
      <c r="G160" s="15"/>
      <c r="H160" s="16"/>
      <c r="I160" s="15"/>
      <c r="J160" s="15"/>
      <c r="K160" s="15"/>
      <c r="L160" s="15"/>
      <c r="M160" s="15"/>
      <c r="N160" s="14"/>
      <c r="O160" s="14"/>
    </row>
    <row r="161" spans="1:15" x14ac:dyDescent="0.25">
      <c r="A161" s="12"/>
      <c r="B161" s="12"/>
      <c r="C161" s="13"/>
      <c r="D161" s="12"/>
      <c r="E161" s="12"/>
      <c r="F161" s="12"/>
      <c r="G161" s="12"/>
      <c r="H161" s="13"/>
      <c r="I161" s="12"/>
      <c r="J161" s="12"/>
      <c r="K161" s="12"/>
      <c r="L161" s="12"/>
      <c r="M161" s="12"/>
      <c r="N161" s="14"/>
      <c r="O161" s="14"/>
    </row>
    <row r="162" spans="1:15" x14ac:dyDescent="0.25">
      <c r="A162" s="15"/>
      <c r="B162" s="15"/>
      <c r="C162" s="16"/>
      <c r="D162" s="15"/>
      <c r="E162" s="15"/>
      <c r="F162" s="15"/>
      <c r="G162" s="15"/>
      <c r="H162" s="16"/>
      <c r="I162" s="15"/>
      <c r="J162" s="15"/>
      <c r="K162" s="15"/>
      <c r="L162" s="15"/>
      <c r="M162" s="15"/>
      <c r="N162" s="14"/>
      <c r="O162" s="14"/>
    </row>
    <row r="163" spans="1:15" x14ac:dyDescent="0.25">
      <c r="A163" s="12"/>
      <c r="B163" s="12"/>
      <c r="C163" s="13"/>
      <c r="D163" s="12"/>
      <c r="E163" s="12"/>
      <c r="F163" s="12"/>
      <c r="G163" s="12"/>
      <c r="H163" s="13"/>
      <c r="I163" s="12"/>
      <c r="J163" s="12"/>
      <c r="K163" s="12"/>
      <c r="L163" s="12"/>
      <c r="M163" s="12"/>
      <c r="N163" s="14"/>
      <c r="O163" s="14"/>
    </row>
    <row r="164" spans="1:15" x14ac:dyDescent="0.25">
      <c r="A164" s="15"/>
      <c r="B164" s="15"/>
      <c r="C164" s="16"/>
      <c r="D164" s="15"/>
      <c r="E164" s="15"/>
      <c r="F164" s="15"/>
      <c r="G164" s="15"/>
      <c r="H164" s="16"/>
      <c r="I164" s="15"/>
      <c r="J164" s="15"/>
      <c r="K164" s="15"/>
      <c r="L164" s="15"/>
      <c r="M164" s="15"/>
      <c r="N164" s="14"/>
      <c r="O164" s="14"/>
    </row>
    <row r="165" spans="1:15" x14ac:dyDescent="0.25">
      <c r="A165" s="12"/>
      <c r="B165" s="12"/>
      <c r="C165" s="13"/>
      <c r="D165" s="12"/>
      <c r="E165" s="12"/>
      <c r="F165" s="12"/>
      <c r="G165" s="12"/>
      <c r="H165" s="13"/>
      <c r="I165" s="12"/>
      <c r="J165" s="12"/>
      <c r="K165" s="12"/>
      <c r="L165" s="12"/>
      <c r="M165" s="12"/>
      <c r="N165" s="14"/>
      <c r="O165" s="14"/>
    </row>
    <row r="166" spans="1:15" x14ac:dyDescent="0.25">
      <c r="A166" s="15"/>
      <c r="B166" s="15"/>
      <c r="C166" s="16"/>
      <c r="D166" s="15"/>
      <c r="E166" s="15"/>
      <c r="F166" s="15"/>
      <c r="G166" s="15"/>
      <c r="H166" s="16"/>
      <c r="I166" s="15"/>
      <c r="J166" s="15"/>
      <c r="K166" s="15"/>
      <c r="L166" s="15"/>
      <c r="M166" s="15"/>
      <c r="N166" s="14"/>
      <c r="O166" s="14"/>
    </row>
    <row r="167" spans="1:15" x14ac:dyDescent="0.25">
      <c r="A167" s="12"/>
      <c r="B167" s="12"/>
      <c r="C167" s="13"/>
      <c r="D167" s="12"/>
      <c r="E167" s="12"/>
      <c r="F167" s="12"/>
      <c r="G167" s="12"/>
      <c r="H167" s="13"/>
      <c r="I167" s="12"/>
      <c r="J167" s="12"/>
      <c r="K167" s="12"/>
      <c r="L167" s="12"/>
      <c r="M167" s="12"/>
      <c r="N167" s="14"/>
      <c r="O167" s="14"/>
    </row>
    <row r="168" spans="1:15" x14ac:dyDescent="0.25">
      <c r="A168" s="15"/>
      <c r="B168" s="15"/>
      <c r="C168" s="16"/>
      <c r="D168" s="15"/>
      <c r="E168" s="15"/>
      <c r="F168" s="15"/>
      <c r="G168" s="15"/>
      <c r="H168" s="16"/>
      <c r="I168" s="15"/>
      <c r="J168" s="15"/>
      <c r="K168" s="15"/>
      <c r="L168" s="15"/>
      <c r="M168" s="15"/>
      <c r="N168" s="14"/>
      <c r="O168" s="14"/>
    </row>
    <row r="169" spans="1:15" x14ac:dyDescent="0.25">
      <c r="A169" s="12"/>
      <c r="B169" s="12"/>
      <c r="C169" s="13"/>
      <c r="D169" s="12"/>
      <c r="E169" s="12"/>
      <c r="F169" s="12"/>
      <c r="G169" s="12"/>
      <c r="H169" s="13"/>
      <c r="I169" s="12"/>
      <c r="J169" s="12"/>
      <c r="K169" s="12"/>
      <c r="L169" s="12"/>
      <c r="M169" s="12"/>
      <c r="N169" s="14"/>
      <c r="O169" s="14"/>
    </row>
    <row r="170" spans="1:15" x14ac:dyDescent="0.25">
      <c r="A170" s="15"/>
      <c r="B170" s="15"/>
      <c r="C170" s="16"/>
      <c r="D170" s="15"/>
      <c r="E170" s="15"/>
      <c r="F170" s="15"/>
      <c r="G170" s="15"/>
      <c r="H170" s="16"/>
      <c r="I170" s="15"/>
      <c r="J170" s="15"/>
      <c r="K170" s="15"/>
      <c r="L170" s="15"/>
      <c r="M170" s="15"/>
      <c r="N170" s="14"/>
      <c r="O170" s="14"/>
    </row>
    <row r="171" spans="1:15" x14ac:dyDescent="0.25">
      <c r="A171" s="12"/>
      <c r="B171" s="12"/>
      <c r="C171" s="13"/>
      <c r="D171" s="12"/>
      <c r="E171" s="12"/>
      <c r="F171" s="12"/>
      <c r="G171" s="12"/>
      <c r="H171" s="13"/>
      <c r="I171" s="12"/>
      <c r="J171" s="12"/>
      <c r="K171" s="12"/>
      <c r="L171" s="12"/>
      <c r="M171" s="12"/>
      <c r="N171" s="14"/>
      <c r="O171" s="14"/>
    </row>
    <row r="172" spans="1:15" x14ac:dyDescent="0.25">
      <c r="A172" s="15"/>
      <c r="B172" s="15"/>
      <c r="C172" s="16"/>
      <c r="D172" s="15"/>
      <c r="E172" s="15"/>
      <c r="F172" s="15"/>
      <c r="G172" s="15"/>
      <c r="H172" s="16"/>
      <c r="I172" s="15"/>
      <c r="J172" s="15"/>
      <c r="K172" s="15"/>
      <c r="L172" s="15"/>
      <c r="M172" s="15"/>
      <c r="N172" s="14"/>
      <c r="O172" s="14"/>
    </row>
    <row r="173" spans="1:15" x14ac:dyDescent="0.25">
      <c r="A173" s="12"/>
      <c r="B173" s="12"/>
      <c r="C173" s="13"/>
      <c r="D173" s="12"/>
      <c r="E173" s="12"/>
      <c r="F173" s="12"/>
      <c r="G173" s="12"/>
      <c r="H173" s="13"/>
      <c r="I173" s="12"/>
      <c r="J173" s="12"/>
      <c r="K173" s="12"/>
      <c r="L173" s="12"/>
      <c r="M173" s="12"/>
      <c r="N173" s="14"/>
      <c r="O173" s="14"/>
    </row>
    <row r="174" spans="1:15" x14ac:dyDescent="0.25">
      <c r="A174" s="15"/>
      <c r="B174" s="15"/>
      <c r="C174" s="16"/>
      <c r="D174" s="15"/>
      <c r="E174" s="15"/>
      <c r="F174" s="15"/>
      <c r="G174" s="15"/>
      <c r="H174" s="16"/>
      <c r="I174" s="15"/>
      <c r="J174" s="15"/>
      <c r="K174" s="15"/>
      <c r="L174" s="15"/>
      <c r="M174" s="15"/>
      <c r="N174" s="14"/>
      <c r="O174" s="14"/>
    </row>
    <row r="175" spans="1:15" x14ac:dyDescent="0.25">
      <c r="A175" s="12"/>
      <c r="B175" s="12"/>
      <c r="C175" s="13"/>
      <c r="D175" s="12"/>
      <c r="E175" s="12"/>
      <c r="F175" s="12"/>
      <c r="G175" s="12"/>
      <c r="H175" s="13"/>
      <c r="I175" s="12"/>
      <c r="J175" s="12"/>
      <c r="K175" s="12"/>
      <c r="L175" s="12"/>
      <c r="M175" s="12"/>
      <c r="N175" s="14"/>
      <c r="O175" s="14"/>
    </row>
    <row r="176" spans="1:15" x14ac:dyDescent="0.25">
      <c r="A176" s="15"/>
      <c r="B176" s="15"/>
      <c r="C176" s="16"/>
      <c r="D176" s="15"/>
      <c r="E176" s="15"/>
      <c r="F176" s="15"/>
      <c r="G176" s="15"/>
      <c r="H176" s="16"/>
      <c r="I176" s="15"/>
      <c r="J176" s="15"/>
      <c r="K176" s="15"/>
      <c r="L176" s="15"/>
      <c r="M176" s="15"/>
      <c r="N176" s="14"/>
      <c r="O176" s="14"/>
    </row>
    <row r="177" spans="1:15" x14ac:dyDescent="0.25">
      <c r="A177" s="12"/>
      <c r="B177" s="12"/>
      <c r="C177" s="13"/>
      <c r="D177" s="12"/>
      <c r="E177" s="12"/>
      <c r="F177" s="12"/>
      <c r="G177" s="12"/>
      <c r="H177" s="13"/>
      <c r="I177" s="12"/>
      <c r="J177" s="12"/>
      <c r="K177" s="12"/>
      <c r="L177" s="12"/>
      <c r="M177" s="12"/>
      <c r="N177" s="14"/>
      <c r="O177" s="14"/>
    </row>
    <row r="178" spans="1:15" x14ac:dyDescent="0.25">
      <c r="A178" s="15"/>
      <c r="B178" s="15"/>
      <c r="C178" s="16"/>
      <c r="D178" s="15"/>
      <c r="E178" s="15"/>
      <c r="F178" s="15"/>
      <c r="G178" s="15"/>
      <c r="H178" s="16"/>
      <c r="I178" s="15"/>
      <c r="J178" s="15"/>
      <c r="K178" s="15"/>
      <c r="L178" s="15"/>
      <c r="M178" s="15"/>
      <c r="N178" s="14"/>
      <c r="O178" s="14"/>
    </row>
    <row r="179" spans="1:15" x14ac:dyDescent="0.25">
      <c r="A179" s="12"/>
      <c r="B179" s="12"/>
      <c r="C179" s="13"/>
      <c r="D179" s="12"/>
      <c r="E179" s="12"/>
      <c r="F179" s="12"/>
      <c r="G179" s="12"/>
      <c r="H179" s="13"/>
      <c r="I179" s="12"/>
      <c r="J179" s="12"/>
      <c r="K179" s="12"/>
      <c r="L179" s="12"/>
      <c r="M179" s="12"/>
      <c r="N179" s="14"/>
      <c r="O179" s="14"/>
    </row>
    <row r="180" spans="1:15" x14ac:dyDescent="0.25">
      <c r="A180" s="15"/>
      <c r="B180" s="15"/>
      <c r="C180" s="16"/>
      <c r="D180" s="15"/>
      <c r="E180" s="15"/>
      <c r="F180" s="15"/>
      <c r="G180" s="15"/>
      <c r="H180" s="16"/>
      <c r="I180" s="15"/>
      <c r="J180" s="15"/>
      <c r="K180" s="15"/>
      <c r="L180" s="15"/>
      <c r="M180" s="15"/>
      <c r="N180" s="14"/>
      <c r="O180" s="14"/>
    </row>
    <row r="181" spans="1:15" x14ac:dyDescent="0.25">
      <c r="A181" s="12"/>
      <c r="B181" s="12"/>
      <c r="C181" s="13"/>
      <c r="D181" s="12"/>
      <c r="E181" s="12"/>
      <c r="F181" s="12"/>
      <c r="G181" s="12"/>
      <c r="H181" s="13"/>
      <c r="I181" s="12"/>
      <c r="J181" s="12"/>
      <c r="K181" s="12"/>
      <c r="L181" s="12"/>
      <c r="M181" s="12"/>
      <c r="N181" s="14"/>
      <c r="O181" s="14"/>
    </row>
    <row r="182" spans="1:15" x14ac:dyDescent="0.25">
      <c r="A182" s="15"/>
      <c r="B182" s="15"/>
      <c r="C182" s="16"/>
      <c r="D182" s="15"/>
      <c r="E182" s="15"/>
      <c r="F182" s="15"/>
      <c r="G182" s="15"/>
      <c r="H182" s="16"/>
      <c r="I182" s="15"/>
      <c r="J182" s="15"/>
      <c r="K182" s="15"/>
      <c r="L182" s="15"/>
      <c r="M182" s="15"/>
      <c r="N182" s="14"/>
      <c r="O182" s="14"/>
    </row>
    <row r="183" spans="1:15" x14ac:dyDescent="0.25">
      <c r="A183" s="12"/>
      <c r="B183" s="12"/>
      <c r="C183" s="13"/>
      <c r="D183" s="12"/>
      <c r="E183" s="12"/>
      <c r="F183" s="12"/>
      <c r="G183" s="12"/>
      <c r="H183" s="13"/>
      <c r="I183" s="12"/>
      <c r="J183" s="12"/>
      <c r="K183" s="12"/>
      <c r="L183" s="12"/>
      <c r="M183" s="12"/>
      <c r="N183" s="14"/>
      <c r="O183" s="14"/>
    </row>
    <row r="184" spans="1:15" x14ac:dyDescent="0.25">
      <c r="A184" s="15"/>
      <c r="B184" s="15"/>
      <c r="C184" s="16"/>
      <c r="D184" s="15"/>
      <c r="E184" s="15"/>
      <c r="F184" s="15"/>
      <c r="G184" s="15"/>
      <c r="H184" s="16"/>
      <c r="I184" s="15"/>
      <c r="J184" s="15"/>
      <c r="K184" s="15"/>
      <c r="L184" s="15"/>
      <c r="M184" s="15"/>
      <c r="N184" s="14"/>
      <c r="O184" s="14"/>
    </row>
    <row r="185" spans="1:15" x14ac:dyDescent="0.25">
      <c r="A185" s="12"/>
      <c r="B185" s="12"/>
      <c r="C185" s="13"/>
      <c r="D185" s="12"/>
      <c r="E185" s="12"/>
      <c r="F185" s="12"/>
      <c r="G185" s="12"/>
      <c r="H185" s="13"/>
      <c r="I185" s="12"/>
      <c r="J185" s="12"/>
      <c r="K185" s="12"/>
      <c r="L185" s="12"/>
      <c r="M185" s="12"/>
      <c r="N185" s="14"/>
      <c r="O185" s="14"/>
    </row>
    <row r="186" spans="1:15" x14ac:dyDescent="0.25">
      <c r="A186" s="15"/>
      <c r="B186" s="15"/>
      <c r="C186" s="16"/>
      <c r="D186" s="15"/>
      <c r="E186" s="15"/>
      <c r="F186" s="15"/>
      <c r="G186" s="15"/>
      <c r="H186" s="16"/>
      <c r="I186" s="15"/>
      <c r="J186" s="15"/>
      <c r="K186" s="15"/>
      <c r="L186" s="15"/>
      <c r="M186" s="15"/>
      <c r="N186" s="14"/>
      <c r="O186" s="14"/>
    </row>
    <row r="187" spans="1:15" x14ac:dyDescent="0.25">
      <c r="A187" s="12"/>
      <c r="B187" s="12"/>
      <c r="C187" s="13"/>
      <c r="D187" s="12"/>
      <c r="E187" s="12"/>
      <c r="F187" s="12"/>
      <c r="G187" s="12"/>
      <c r="H187" s="13"/>
      <c r="I187" s="12"/>
      <c r="J187" s="12"/>
      <c r="K187" s="12"/>
      <c r="L187" s="12"/>
      <c r="M187" s="12"/>
      <c r="N187" s="14"/>
      <c r="O187" s="14"/>
    </row>
    <row r="188" spans="1:15" x14ac:dyDescent="0.25">
      <c r="A188" s="15"/>
      <c r="B188" s="15"/>
      <c r="C188" s="16"/>
      <c r="D188" s="15"/>
      <c r="E188" s="15"/>
      <c r="F188" s="15"/>
      <c r="G188" s="15"/>
      <c r="H188" s="16"/>
      <c r="I188" s="15"/>
      <c r="J188" s="15"/>
      <c r="K188" s="15"/>
      <c r="L188" s="15"/>
      <c r="M188" s="15"/>
      <c r="N188" s="14"/>
      <c r="O188" s="14"/>
    </row>
    <row r="189" spans="1:15" x14ac:dyDescent="0.25">
      <c r="A189" s="12"/>
      <c r="B189" s="12"/>
      <c r="C189" s="13"/>
      <c r="D189" s="12"/>
      <c r="E189" s="12"/>
      <c r="F189" s="12"/>
      <c r="G189" s="12"/>
      <c r="H189" s="13"/>
      <c r="I189" s="12"/>
      <c r="J189" s="12"/>
      <c r="K189" s="12"/>
      <c r="L189" s="12"/>
      <c r="M189" s="12"/>
      <c r="N189" s="14"/>
      <c r="O189" s="14"/>
    </row>
    <row r="190" spans="1:15" x14ac:dyDescent="0.25">
      <c r="A190" s="15"/>
      <c r="B190" s="15"/>
      <c r="C190" s="16"/>
      <c r="D190" s="15"/>
      <c r="E190" s="15"/>
      <c r="F190" s="15"/>
      <c r="G190" s="15"/>
      <c r="H190" s="16"/>
      <c r="I190" s="15"/>
      <c r="J190" s="15"/>
      <c r="K190" s="15"/>
      <c r="L190" s="15"/>
      <c r="M190" s="15"/>
      <c r="N190" s="14"/>
      <c r="O190" s="14"/>
    </row>
    <row r="191" spans="1:15" x14ac:dyDescent="0.25">
      <c r="A191" s="12"/>
      <c r="B191" s="12"/>
      <c r="C191" s="13"/>
      <c r="D191" s="12"/>
      <c r="E191" s="12"/>
      <c r="F191" s="12"/>
      <c r="G191" s="12"/>
      <c r="H191" s="13"/>
      <c r="I191" s="12"/>
      <c r="J191" s="12"/>
      <c r="K191" s="12"/>
      <c r="L191" s="12"/>
      <c r="M191" s="12"/>
      <c r="N191" s="14"/>
      <c r="O191" s="14"/>
    </row>
    <row r="192" spans="1:15" x14ac:dyDescent="0.25">
      <c r="A192" s="15"/>
      <c r="B192" s="15"/>
      <c r="C192" s="16"/>
      <c r="D192" s="15"/>
      <c r="E192" s="15"/>
      <c r="F192" s="15"/>
      <c r="G192" s="15"/>
      <c r="H192" s="16"/>
      <c r="I192" s="15"/>
      <c r="J192" s="15"/>
      <c r="K192" s="15"/>
      <c r="L192" s="15"/>
      <c r="M192" s="15"/>
      <c r="N192" s="14"/>
      <c r="O192" s="14"/>
    </row>
    <row r="193" spans="1:15" x14ac:dyDescent="0.25">
      <c r="A193" s="12"/>
      <c r="B193" s="12"/>
      <c r="C193" s="13"/>
      <c r="D193" s="12"/>
      <c r="E193" s="12"/>
      <c r="F193" s="12"/>
      <c r="G193" s="12"/>
      <c r="H193" s="13"/>
      <c r="I193" s="12"/>
      <c r="J193" s="12"/>
      <c r="K193" s="12"/>
      <c r="L193" s="12"/>
      <c r="M193" s="12"/>
      <c r="N193" s="14"/>
      <c r="O193" s="14"/>
    </row>
    <row r="194" spans="1:15" x14ac:dyDescent="0.25">
      <c r="A194" s="15"/>
      <c r="B194" s="15"/>
      <c r="C194" s="16"/>
      <c r="D194" s="15"/>
      <c r="E194" s="15"/>
      <c r="F194" s="15"/>
      <c r="G194" s="15"/>
      <c r="H194" s="16"/>
      <c r="I194" s="15"/>
      <c r="J194" s="15"/>
      <c r="K194" s="15"/>
      <c r="L194" s="15"/>
      <c r="M194" s="15"/>
      <c r="N194" s="14"/>
      <c r="O194" s="14"/>
    </row>
    <row r="195" spans="1:15" x14ac:dyDescent="0.25">
      <c r="A195" s="12"/>
      <c r="B195" s="12"/>
      <c r="C195" s="13"/>
      <c r="D195" s="12"/>
      <c r="E195" s="12"/>
      <c r="F195" s="12"/>
      <c r="G195" s="12"/>
      <c r="H195" s="13"/>
      <c r="I195" s="12"/>
      <c r="J195" s="12"/>
      <c r="K195" s="12"/>
      <c r="L195" s="12"/>
      <c r="M195" s="12"/>
      <c r="N195" s="14"/>
      <c r="O195" s="14"/>
    </row>
    <row r="196" spans="1:15" x14ac:dyDescent="0.25">
      <c r="A196" s="15"/>
      <c r="B196" s="15"/>
      <c r="C196" s="16"/>
      <c r="D196" s="15"/>
      <c r="E196" s="15"/>
      <c r="F196" s="15"/>
      <c r="G196" s="15"/>
      <c r="H196" s="16"/>
      <c r="I196" s="15"/>
      <c r="J196" s="15"/>
      <c r="K196" s="15"/>
      <c r="L196" s="15"/>
      <c r="M196" s="15"/>
      <c r="N196" s="14"/>
      <c r="O196" s="14"/>
    </row>
    <row r="197" spans="1:15" x14ac:dyDescent="0.25">
      <c r="A197" s="12"/>
      <c r="B197" s="12"/>
      <c r="C197" s="13"/>
      <c r="D197" s="12"/>
      <c r="E197" s="12"/>
      <c r="F197" s="12"/>
      <c r="G197" s="12"/>
      <c r="H197" s="13"/>
      <c r="I197" s="12"/>
      <c r="J197" s="12"/>
      <c r="K197" s="12"/>
      <c r="L197" s="12"/>
      <c r="M197" s="12"/>
      <c r="N197" s="14"/>
      <c r="O197" s="14"/>
    </row>
    <row r="198" spans="1:15" x14ac:dyDescent="0.25">
      <c r="A198" s="15"/>
      <c r="B198" s="15"/>
      <c r="C198" s="16"/>
      <c r="D198" s="15"/>
      <c r="E198" s="15"/>
      <c r="F198" s="15"/>
      <c r="G198" s="15"/>
      <c r="H198" s="16"/>
      <c r="I198" s="15"/>
      <c r="J198" s="15"/>
      <c r="K198" s="15"/>
      <c r="L198" s="15"/>
      <c r="M198" s="15"/>
      <c r="N198" s="14"/>
      <c r="O198" s="14"/>
    </row>
    <row r="199" spans="1:15" x14ac:dyDescent="0.25">
      <c r="A199" s="12"/>
      <c r="B199" s="12"/>
      <c r="C199" s="13"/>
      <c r="D199" s="12"/>
      <c r="E199" s="12"/>
      <c r="F199" s="12"/>
      <c r="G199" s="12"/>
      <c r="H199" s="13"/>
      <c r="I199" s="12"/>
      <c r="J199" s="12"/>
      <c r="K199" s="12"/>
      <c r="L199" s="12"/>
      <c r="M199" s="12"/>
      <c r="N199" s="14"/>
      <c r="O199" s="14"/>
    </row>
    <row r="200" spans="1:15" x14ac:dyDescent="0.25">
      <c r="A200" s="15"/>
      <c r="B200" s="15"/>
      <c r="C200" s="16"/>
      <c r="D200" s="15"/>
      <c r="E200" s="15"/>
      <c r="F200" s="15"/>
      <c r="G200" s="15"/>
      <c r="H200" s="16"/>
      <c r="I200" s="15"/>
      <c r="J200" s="15"/>
      <c r="K200" s="15"/>
      <c r="L200" s="15"/>
      <c r="M200" s="15"/>
      <c r="N200" s="14"/>
      <c r="O200" s="14"/>
    </row>
    <row r="201" spans="1:15" x14ac:dyDescent="0.25">
      <c r="A201" s="12"/>
      <c r="B201" s="12"/>
      <c r="C201" s="13"/>
      <c r="D201" s="12"/>
      <c r="E201" s="12"/>
      <c r="F201" s="12"/>
      <c r="G201" s="12"/>
      <c r="H201" s="13"/>
      <c r="I201" s="12"/>
      <c r="J201" s="12"/>
      <c r="K201" s="12"/>
      <c r="L201" s="12"/>
      <c r="M201" s="12"/>
      <c r="N201" s="14"/>
      <c r="O201" s="14"/>
    </row>
    <row r="202" spans="1:15" x14ac:dyDescent="0.25">
      <c r="A202" s="15"/>
      <c r="B202" s="15"/>
      <c r="C202" s="16"/>
      <c r="D202" s="15"/>
      <c r="E202" s="15"/>
      <c r="F202" s="15"/>
      <c r="G202" s="15"/>
      <c r="H202" s="16"/>
      <c r="I202" s="15"/>
      <c r="J202" s="15"/>
      <c r="K202" s="15"/>
      <c r="L202" s="15"/>
      <c r="M202" s="15"/>
      <c r="N202" s="14"/>
      <c r="O202" s="14"/>
    </row>
    <row r="203" spans="1:15" x14ac:dyDescent="0.25">
      <c r="A203" s="12"/>
      <c r="B203" s="12"/>
      <c r="C203" s="13"/>
      <c r="D203" s="12"/>
      <c r="E203" s="12"/>
      <c r="F203" s="12"/>
      <c r="G203" s="12"/>
      <c r="H203" s="13"/>
      <c r="I203" s="12"/>
      <c r="J203" s="12"/>
      <c r="K203" s="12"/>
      <c r="L203" s="12"/>
      <c r="M203" s="12"/>
      <c r="N203" s="14"/>
      <c r="O203" s="14"/>
    </row>
    <row r="204" spans="1:15" x14ac:dyDescent="0.25">
      <c r="A204" s="15"/>
      <c r="B204" s="15"/>
      <c r="C204" s="16"/>
      <c r="D204" s="15"/>
      <c r="E204" s="15"/>
      <c r="F204" s="15"/>
      <c r="G204" s="15"/>
      <c r="H204" s="16"/>
      <c r="I204" s="15"/>
      <c r="J204" s="15"/>
      <c r="K204" s="15"/>
      <c r="L204" s="15"/>
      <c r="M204" s="15"/>
      <c r="N204" s="14"/>
      <c r="O204" s="14"/>
    </row>
    <row r="205" spans="1:15" x14ac:dyDescent="0.25">
      <c r="A205" s="12"/>
      <c r="B205" s="12"/>
      <c r="C205" s="13"/>
      <c r="D205" s="12"/>
      <c r="E205" s="12"/>
      <c r="F205" s="12"/>
      <c r="G205" s="12"/>
      <c r="H205" s="13"/>
      <c r="I205" s="12"/>
      <c r="J205" s="12"/>
      <c r="K205" s="12"/>
      <c r="L205" s="12"/>
      <c r="M205" s="12"/>
      <c r="N205" s="14"/>
      <c r="O205" s="14"/>
    </row>
    <row r="206" spans="1:15" x14ac:dyDescent="0.25">
      <c r="A206" s="15"/>
      <c r="B206" s="15"/>
      <c r="C206" s="16"/>
      <c r="D206" s="15"/>
      <c r="E206" s="15"/>
      <c r="F206" s="15"/>
      <c r="G206" s="15"/>
      <c r="H206" s="16"/>
      <c r="I206" s="15"/>
      <c r="J206" s="15"/>
      <c r="K206" s="15"/>
      <c r="L206" s="15"/>
      <c r="M206" s="15"/>
      <c r="N206" s="14"/>
      <c r="O206" s="14"/>
    </row>
    <row r="207" spans="1:15" x14ac:dyDescent="0.25">
      <c r="A207" s="12"/>
      <c r="B207" s="12"/>
      <c r="C207" s="13"/>
      <c r="D207" s="12"/>
      <c r="E207" s="12"/>
      <c r="F207" s="12"/>
      <c r="G207" s="12"/>
      <c r="H207" s="13"/>
      <c r="I207" s="12"/>
      <c r="J207" s="12"/>
      <c r="K207" s="12"/>
      <c r="L207" s="12"/>
      <c r="M207" s="12"/>
      <c r="N207" s="14"/>
      <c r="O207" s="14"/>
    </row>
    <row r="208" spans="1:15" x14ac:dyDescent="0.25">
      <c r="A208" s="15"/>
      <c r="B208" s="15"/>
      <c r="C208" s="16"/>
      <c r="D208" s="15"/>
      <c r="E208" s="15"/>
      <c r="F208" s="15"/>
      <c r="G208" s="15"/>
      <c r="H208" s="16"/>
      <c r="I208" s="15"/>
      <c r="J208" s="15"/>
      <c r="K208" s="15"/>
      <c r="L208" s="15"/>
      <c r="M208" s="15"/>
      <c r="N208" s="14"/>
      <c r="O208" s="14"/>
    </row>
    <row r="209" spans="1:15" x14ac:dyDescent="0.25">
      <c r="A209" s="12"/>
      <c r="B209" s="12"/>
      <c r="C209" s="13"/>
      <c r="D209" s="12"/>
      <c r="E209" s="12"/>
      <c r="F209" s="12"/>
      <c r="G209" s="12"/>
      <c r="H209" s="13"/>
      <c r="I209" s="12"/>
      <c r="J209" s="12"/>
      <c r="K209" s="12"/>
      <c r="L209" s="12"/>
      <c r="M209" s="12"/>
      <c r="N209" s="14"/>
      <c r="O209" s="14"/>
    </row>
    <row r="210" spans="1:15" x14ac:dyDescent="0.25">
      <c r="A210" s="15"/>
      <c r="B210" s="15"/>
      <c r="C210" s="16"/>
      <c r="D210" s="15"/>
      <c r="E210" s="15"/>
      <c r="F210" s="15"/>
      <c r="G210" s="15"/>
      <c r="H210" s="16"/>
      <c r="I210" s="15"/>
      <c r="J210" s="15"/>
      <c r="K210" s="15"/>
      <c r="L210" s="15"/>
      <c r="M210" s="15"/>
      <c r="N210" s="14"/>
      <c r="O210" s="14"/>
    </row>
    <row r="211" spans="1:15" x14ac:dyDescent="0.25">
      <c r="A211" s="12"/>
      <c r="B211" s="12"/>
      <c r="C211" s="13"/>
      <c r="D211" s="12"/>
      <c r="E211" s="12"/>
      <c r="F211" s="12"/>
      <c r="G211" s="12"/>
      <c r="H211" s="13"/>
      <c r="I211" s="12"/>
      <c r="J211" s="12"/>
      <c r="K211" s="12"/>
      <c r="L211" s="12"/>
      <c r="M211" s="12"/>
      <c r="N211" s="14"/>
      <c r="O211" s="14"/>
    </row>
    <row r="212" spans="1:15" x14ac:dyDescent="0.25">
      <c r="A212" s="15"/>
      <c r="B212" s="15"/>
      <c r="C212" s="16"/>
      <c r="D212" s="15"/>
      <c r="E212" s="15"/>
      <c r="F212" s="15"/>
      <c r="G212" s="15"/>
      <c r="H212" s="16"/>
      <c r="I212" s="15"/>
      <c r="J212" s="15"/>
      <c r="K212" s="15"/>
      <c r="L212" s="15"/>
      <c r="M212" s="15"/>
      <c r="N212" s="14"/>
      <c r="O212" s="14"/>
    </row>
    <row r="213" spans="1:15" x14ac:dyDescent="0.25">
      <c r="A213" s="12"/>
      <c r="B213" s="12"/>
      <c r="C213" s="13"/>
      <c r="D213" s="12"/>
      <c r="E213" s="12"/>
      <c r="F213" s="12"/>
      <c r="G213" s="12"/>
      <c r="H213" s="13"/>
      <c r="I213" s="12"/>
      <c r="J213" s="12"/>
      <c r="K213" s="12"/>
      <c r="L213" s="12"/>
      <c r="M213" s="12"/>
      <c r="N213" s="14"/>
      <c r="O213" s="14"/>
    </row>
    <row r="214" spans="1:15" x14ac:dyDescent="0.25">
      <c r="A214" s="15"/>
      <c r="B214" s="15"/>
      <c r="C214" s="16"/>
      <c r="D214" s="15"/>
      <c r="E214" s="15"/>
      <c r="F214" s="15"/>
      <c r="G214" s="15"/>
      <c r="H214" s="16"/>
      <c r="I214" s="15"/>
      <c r="J214" s="15"/>
      <c r="K214" s="15"/>
      <c r="L214" s="15"/>
      <c r="M214" s="15"/>
      <c r="N214" s="14"/>
      <c r="O214" s="14"/>
    </row>
    <row r="215" spans="1:15" x14ac:dyDescent="0.25">
      <c r="A215" s="12"/>
      <c r="B215" s="12"/>
      <c r="C215" s="13"/>
      <c r="D215" s="12"/>
      <c r="E215" s="12"/>
      <c r="F215" s="12"/>
      <c r="G215" s="12"/>
      <c r="H215" s="13"/>
      <c r="I215" s="12"/>
      <c r="J215" s="12"/>
      <c r="K215" s="12"/>
      <c r="L215" s="12"/>
      <c r="M215" s="12"/>
      <c r="N215" s="14"/>
      <c r="O215" s="14"/>
    </row>
    <row r="216" spans="1:15" x14ac:dyDescent="0.25">
      <c r="A216" s="15"/>
      <c r="B216" s="15"/>
      <c r="C216" s="16"/>
      <c r="D216" s="15"/>
      <c r="E216" s="15"/>
      <c r="F216" s="15"/>
      <c r="G216" s="15"/>
      <c r="H216" s="16"/>
      <c r="I216" s="15"/>
      <c r="J216" s="15"/>
      <c r="K216" s="15"/>
      <c r="L216" s="15"/>
      <c r="M216" s="15"/>
      <c r="N216" s="14"/>
      <c r="O216" s="14"/>
    </row>
    <row r="217" spans="1:15" x14ac:dyDescent="0.25">
      <c r="A217" s="12"/>
      <c r="B217" s="12"/>
      <c r="C217" s="13"/>
      <c r="D217" s="12"/>
      <c r="E217" s="12"/>
      <c r="F217" s="12"/>
      <c r="G217" s="12"/>
      <c r="H217" s="13"/>
      <c r="I217" s="12"/>
      <c r="J217" s="12"/>
      <c r="K217" s="12"/>
      <c r="L217" s="12"/>
      <c r="M217" s="12"/>
      <c r="N217" s="14"/>
      <c r="O217" s="14"/>
    </row>
    <row r="218" spans="1:15" x14ac:dyDescent="0.25">
      <c r="A218" s="15"/>
      <c r="B218" s="15"/>
      <c r="C218" s="16"/>
      <c r="D218" s="15"/>
      <c r="E218" s="15"/>
      <c r="F218" s="15"/>
      <c r="G218" s="15"/>
      <c r="H218" s="16"/>
      <c r="I218" s="15"/>
      <c r="J218" s="15"/>
      <c r="K218" s="15"/>
      <c r="L218" s="15"/>
      <c r="M218" s="15"/>
      <c r="N218" s="14"/>
      <c r="O218" s="14"/>
    </row>
    <row r="219" spans="1:15" x14ac:dyDescent="0.25">
      <c r="A219" s="12"/>
      <c r="B219" s="12"/>
      <c r="C219" s="13"/>
      <c r="D219" s="12"/>
      <c r="E219" s="12"/>
      <c r="F219" s="12"/>
      <c r="G219" s="12"/>
      <c r="H219" s="13"/>
      <c r="I219" s="12"/>
      <c r="J219" s="12"/>
      <c r="K219" s="12"/>
      <c r="L219" s="12"/>
      <c r="M219" s="12"/>
      <c r="N219" s="14"/>
      <c r="O219" s="14"/>
    </row>
    <row r="220" spans="1:15" x14ac:dyDescent="0.25">
      <c r="A220" s="15"/>
      <c r="B220" s="15"/>
      <c r="C220" s="16"/>
      <c r="D220" s="15"/>
      <c r="E220" s="15"/>
      <c r="F220" s="15"/>
      <c r="G220" s="15"/>
      <c r="H220" s="16"/>
      <c r="I220" s="15"/>
      <c r="J220" s="15"/>
      <c r="K220" s="15"/>
      <c r="L220" s="15"/>
      <c r="M220" s="15"/>
      <c r="N220" s="14"/>
      <c r="O220" s="14"/>
    </row>
    <row r="221" spans="1:15" x14ac:dyDescent="0.25">
      <c r="A221" s="12"/>
      <c r="B221" s="12"/>
      <c r="C221" s="13"/>
      <c r="D221" s="12"/>
      <c r="E221" s="12"/>
      <c r="F221" s="12"/>
      <c r="G221" s="12"/>
      <c r="H221" s="13"/>
      <c r="I221" s="12"/>
      <c r="J221" s="12"/>
      <c r="K221" s="12"/>
      <c r="L221" s="12"/>
      <c r="M221" s="12"/>
      <c r="N221" s="14"/>
      <c r="O221" s="14"/>
    </row>
    <row r="222" spans="1:15" x14ac:dyDescent="0.25">
      <c r="A222" s="15"/>
      <c r="B222" s="15"/>
      <c r="C222" s="16"/>
      <c r="D222" s="15"/>
      <c r="E222" s="15"/>
      <c r="F222" s="15"/>
      <c r="G222" s="15"/>
      <c r="H222" s="16"/>
      <c r="I222" s="15"/>
      <c r="J222" s="15"/>
      <c r="K222" s="15"/>
      <c r="L222" s="15"/>
      <c r="M222" s="15"/>
      <c r="N222" s="14"/>
      <c r="O222" s="14"/>
    </row>
    <row r="223" spans="1:15" x14ac:dyDescent="0.25">
      <c r="A223" s="12"/>
      <c r="B223" s="12"/>
      <c r="C223" s="13"/>
      <c r="D223" s="12"/>
      <c r="E223" s="12"/>
      <c r="F223" s="12"/>
      <c r="G223" s="12"/>
      <c r="H223" s="13"/>
      <c r="I223" s="12"/>
      <c r="J223" s="12"/>
      <c r="K223" s="12"/>
      <c r="L223" s="12"/>
      <c r="M223" s="12"/>
      <c r="N223" s="14"/>
      <c r="O223" s="14"/>
    </row>
    <row r="224" spans="1:15" x14ac:dyDescent="0.25">
      <c r="A224" s="15"/>
      <c r="B224" s="15"/>
      <c r="C224" s="16"/>
      <c r="D224" s="15"/>
      <c r="E224" s="15"/>
      <c r="F224" s="15"/>
      <c r="G224" s="15"/>
      <c r="H224" s="16"/>
      <c r="I224" s="15"/>
      <c r="J224" s="15"/>
      <c r="K224" s="15"/>
      <c r="L224" s="15"/>
      <c r="M224" s="15"/>
      <c r="N224" s="14"/>
      <c r="O224" s="14"/>
    </row>
    <row r="225" spans="1:15" x14ac:dyDescent="0.25">
      <c r="A225" s="12"/>
      <c r="B225" s="12"/>
      <c r="C225" s="13"/>
      <c r="D225" s="12"/>
      <c r="E225" s="12"/>
      <c r="F225" s="12"/>
      <c r="G225" s="12"/>
      <c r="H225" s="13"/>
      <c r="I225" s="12"/>
      <c r="J225" s="12"/>
      <c r="K225" s="12"/>
      <c r="L225" s="12"/>
      <c r="M225" s="12"/>
      <c r="N225" s="14"/>
      <c r="O225" s="14"/>
    </row>
    <row r="226" spans="1:15" x14ac:dyDescent="0.25">
      <c r="A226" s="15"/>
      <c r="B226" s="15"/>
      <c r="C226" s="16"/>
      <c r="D226" s="15"/>
      <c r="E226" s="15"/>
      <c r="F226" s="15"/>
      <c r="G226" s="15"/>
      <c r="H226" s="16"/>
      <c r="I226" s="15"/>
      <c r="J226" s="15"/>
      <c r="K226" s="15"/>
      <c r="L226" s="15"/>
      <c r="M226" s="15"/>
      <c r="N226" s="14"/>
      <c r="O226" s="14"/>
    </row>
    <row r="227" spans="1:15" x14ac:dyDescent="0.25">
      <c r="A227" s="12"/>
      <c r="B227" s="12"/>
      <c r="C227" s="13"/>
      <c r="D227" s="12"/>
      <c r="E227" s="12"/>
      <c r="F227" s="12"/>
      <c r="G227" s="12"/>
      <c r="H227" s="13"/>
      <c r="I227" s="12"/>
      <c r="J227" s="12"/>
      <c r="K227" s="12"/>
      <c r="L227" s="12"/>
      <c r="M227" s="12"/>
      <c r="N227" s="14"/>
      <c r="O227" s="14"/>
    </row>
    <row r="228" spans="1:15" x14ac:dyDescent="0.25">
      <c r="A228" s="15"/>
      <c r="B228" s="15"/>
      <c r="C228" s="16"/>
      <c r="D228" s="15"/>
      <c r="E228" s="15"/>
      <c r="F228" s="15"/>
      <c r="G228" s="15"/>
      <c r="H228" s="16"/>
      <c r="I228" s="15"/>
      <c r="J228" s="15"/>
      <c r="K228" s="15"/>
      <c r="L228" s="15"/>
      <c r="M228" s="15"/>
      <c r="N228" s="14"/>
      <c r="O228" s="14"/>
    </row>
    <row r="229" spans="1:15" x14ac:dyDescent="0.25">
      <c r="A229" s="12"/>
      <c r="B229" s="12"/>
      <c r="C229" s="13"/>
      <c r="D229" s="12"/>
      <c r="E229" s="12"/>
      <c r="F229" s="12"/>
      <c r="G229" s="12"/>
      <c r="H229" s="13"/>
      <c r="I229" s="12"/>
      <c r="J229" s="12"/>
      <c r="K229" s="12"/>
      <c r="L229" s="12"/>
      <c r="M229" s="12"/>
      <c r="N229" s="14"/>
      <c r="O229" s="14"/>
    </row>
    <row r="230" spans="1:15" x14ac:dyDescent="0.25">
      <c r="A230" s="15"/>
      <c r="B230" s="15"/>
      <c r="C230" s="16"/>
      <c r="D230" s="15"/>
      <c r="E230" s="15"/>
      <c r="F230" s="15"/>
      <c r="G230" s="15"/>
      <c r="H230" s="16"/>
      <c r="I230" s="15"/>
      <c r="J230" s="15"/>
      <c r="K230" s="15"/>
      <c r="L230" s="15"/>
      <c r="M230" s="15"/>
      <c r="N230" s="14"/>
      <c r="O230" s="14"/>
    </row>
    <row r="231" spans="1:15" x14ac:dyDescent="0.25">
      <c r="A231" s="12"/>
      <c r="B231" s="12"/>
      <c r="C231" s="13"/>
      <c r="D231" s="12"/>
      <c r="E231" s="12"/>
      <c r="F231" s="12"/>
      <c r="G231" s="12"/>
      <c r="H231" s="13"/>
      <c r="I231" s="12"/>
      <c r="J231" s="12"/>
      <c r="K231" s="12"/>
      <c r="L231" s="12"/>
      <c r="M231" s="12"/>
      <c r="N231" s="14"/>
      <c r="O231" s="14"/>
    </row>
    <row r="232" spans="1:15" x14ac:dyDescent="0.25">
      <c r="A232" s="15"/>
      <c r="B232" s="15"/>
      <c r="C232" s="16"/>
      <c r="D232" s="15"/>
      <c r="E232" s="15"/>
      <c r="F232" s="15"/>
      <c r="G232" s="15"/>
      <c r="H232" s="16"/>
      <c r="I232" s="15"/>
      <c r="J232" s="15"/>
      <c r="K232" s="15"/>
      <c r="L232" s="15"/>
      <c r="M232" s="15"/>
      <c r="N232" s="14"/>
      <c r="O232" s="14"/>
    </row>
    <row r="233" spans="1:15" x14ac:dyDescent="0.25">
      <c r="A233" s="12"/>
      <c r="B233" s="12"/>
      <c r="C233" s="13"/>
      <c r="D233" s="12"/>
      <c r="E233" s="12"/>
      <c r="F233" s="12"/>
      <c r="G233" s="12"/>
      <c r="H233" s="13"/>
      <c r="I233" s="12"/>
      <c r="J233" s="12"/>
      <c r="K233" s="12"/>
      <c r="L233" s="12"/>
      <c r="M233" s="12"/>
      <c r="N233" s="14"/>
      <c r="O233" s="14"/>
    </row>
    <row r="234" spans="1:15" x14ac:dyDescent="0.25">
      <c r="A234" s="15"/>
      <c r="B234" s="15"/>
      <c r="C234" s="16"/>
      <c r="D234" s="15"/>
      <c r="E234" s="15"/>
      <c r="F234" s="15"/>
      <c r="G234" s="15"/>
      <c r="H234" s="16"/>
      <c r="I234" s="15"/>
      <c r="J234" s="15"/>
      <c r="K234" s="15"/>
      <c r="L234" s="15"/>
      <c r="M234" s="15"/>
      <c r="N234" s="14"/>
      <c r="O234" s="14"/>
    </row>
    <row r="235" spans="1:15" x14ac:dyDescent="0.25">
      <c r="A235" s="12"/>
      <c r="B235" s="12"/>
      <c r="C235" s="13"/>
      <c r="D235" s="12"/>
      <c r="E235" s="12"/>
      <c r="F235" s="12"/>
      <c r="G235" s="12"/>
      <c r="H235" s="13"/>
      <c r="I235" s="12"/>
      <c r="J235" s="12"/>
      <c r="K235" s="12"/>
      <c r="L235" s="12"/>
      <c r="M235" s="12"/>
      <c r="N235" s="14"/>
      <c r="O235" s="14"/>
    </row>
    <row r="236" spans="1:15" x14ac:dyDescent="0.25">
      <c r="A236" s="15"/>
      <c r="B236" s="15"/>
      <c r="C236" s="16"/>
      <c r="D236" s="15"/>
      <c r="E236" s="15"/>
      <c r="F236" s="15"/>
      <c r="G236" s="15"/>
      <c r="H236" s="16"/>
      <c r="I236" s="15"/>
      <c r="J236" s="15"/>
      <c r="K236" s="15"/>
      <c r="L236" s="15"/>
      <c r="M236" s="15"/>
      <c r="N236" s="14"/>
      <c r="O236" s="14"/>
    </row>
    <row r="237" spans="1:15" x14ac:dyDescent="0.25">
      <c r="A237" s="12"/>
      <c r="B237" s="12"/>
      <c r="C237" s="13"/>
      <c r="D237" s="12"/>
      <c r="E237" s="12"/>
      <c r="F237" s="12"/>
      <c r="G237" s="12"/>
      <c r="H237" s="13"/>
      <c r="I237" s="12"/>
      <c r="J237" s="12"/>
      <c r="K237" s="12"/>
      <c r="L237" s="12"/>
      <c r="M237" s="12"/>
      <c r="N237" s="14"/>
      <c r="O237" s="14"/>
    </row>
    <row r="238" spans="1:15" x14ac:dyDescent="0.25">
      <c r="A238" s="15"/>
      <c r="B238" s="15"/>
      <c r="C238" s="16"/>
      <c r="D238" s="15"/>
      <c r="E238" s="15"/>
      <c r="F238" s="15"/>
      <c r="G238" s="15"/>
      <c r="H238" s="16"/>
      <c r="I238" s="15"/>
      <c r="J238" s="15"/>
      <c r="K238" s="15"/>
      <c r="L238" s="15"/>
      <c r="M238" s="15"/>
      <c r="N238" s="14"/>
      <c r="O238" s="14"/>
    </row>
    <row r="239" spans="1:15" x14ac:dyDescent="0.25">
      <c r="A239" s="12"/>
      <c r="B239" s="12"/>
      <c r="C239" s="13"/>
      <c r="D239" s="12"/>
      <c r="E239" s="12"/>
      <c r="F239" s="12"/>
      <c r="G239" s="12"/>
      <c r="H239" s="13"/>
      <c r="I239" s="12"/>
      <c r="J239" s="12"/>
      <c r="K239" s="12"/>
      <c r="L239" s="12"/>
      <c r="M239" s="12"/>
      <c r="N239" s="14"/>
      <c r="O239" s="14"/>
    </row>
    <row r="240" spans="1:15" x14ac:dyDescent="0.25">
      <c r="A240" s="15"/>
      <c r="B240" s="15"/>
      <c r="C240" s="16"/>
      <c r="D240" s="15"/>
      <c r="E240" s="15"/>
      <c r="F240" s="15"/>
      <c r="G240" s="15"/>
      <c r="H240" s="16"/>
      <c r="I240" s="15"/>
      <c r="J240" s="15"/>
      <c r="K240" s="15"/>
      <c r="L240" s="15"/>
      <c r="M240" s="15"/>
      <c r="N240" s="14"/>
      <c r="O240" s="14"/>
    </row>
    <row r="241" spans="1:15" x14ac:dyDescent="0.25">
      <c r="A241" s="12"/>
      <c r="B241" s="12"/>
      <c r="C241" s="13"/>
      <c r="D241" s="12"/>
      <c r="E241" s="12"/>
      <c r="F241" s="12"/>
      <c r="G241" s="12"/>
      <c r="H241" s="13"/>
      <c r="I241" s="12"/>
      <c r="J241" s="12"/>
      <c r="K241" s="12"/>
      <c r="L241" s="12"/>
      <c r="M241" s="12"/>
      <c r="N241" s="14"/>
      <c r="O241" s="14"/>
    </row>
    <row r="242" spans="1:15" x14ac:dyDescent="0.25">
      <c r="A242" s="15"/>
      <c r="B242" s="15"/>
      <c r="C242" s="16"/>
      <c r="D242" s="15"/>
      <c r="E242" s="15"/>
      <c r="F242" s="15"/>
      <c r="G242" s="15"/>
      <c r="H242" s="16"/>
      <c r="I242" s="15"/>
      <c r="J242" s="15"/>
      <c r="K242" s="15"/>
      <c r="L242" s="15"/>
      <c r="M242" s="15"/>
      <c r="N242" s="14"/>
      <c r="O242" s="14"/>
    </row>
    <row r="243" spans="1:15" x14ac:dyDescent="0.25">
      <c r="A243" s="12"/>
      <c r="B243" s="12"/>
      <c r="C243" s="13"/>
      <c r="D243" s="12"/>
      <c r="E243" s="12"/>
      <c r="F243" s="12"/>
      <c r="G243" s="12"/>
      <c r="H243" s="13"/>
      <c r="I243" s="12"/>
      <c r="J243" s="12"/>
      <c r="K243" s="12"/>
      <c r="L243" s="12"/>
      <c r="M243" s="12"/>
      <c r="N243" s="14"/>
      <c r="O243" s="14"/>
    </row>
    <row r="244" spans="1:15" x14ac:dyDescent="0.25">
      <c r="A244" s="15"/>
      <c r="B244" s="15"/>
      <c r="C244" s="16"/>
      <c r="D244" s="15"/>
      <c r="E244" s="15"/>
      <c r="F244" s="15"/>
      <c r="G244" s="15"/>
      <c r="H244" s="16"/>
      <c r="I244" s="15"/>
      <c r="J244" s="15"/>
      <c r="K244" s="15"/>
      <c r="L244" s="15"/>
      <c r="M244" s="15"/>
      <c r="N244" s="14"/>
      <c r="O244" s="14"/>
    </row>
    <row r="245" spans="1:15" x14ac:dyDescent="0.25">
      <c r="A245" s="12"/>
      <c r="B245" s="12"/>
      <c r="C245" s="13"/>
      <c r="D245" s="12"/>
      <c r="E245" s="12"/>
      <c r="F245" s="12"/>
      <c r="G245" s="12"/>
      <c r="H245" s="13"/>
      <c r="I245" s="12"/>
      <c r="J245" s="12"/>
      <c r="K245" s="12"/>
      <c r="L245" s="12"/>
      <c r="M245" s="12"/>
      <c r="N245" s="14"/>
      <c r="O245" s="14"/>
    </row>
    <row r="246" spans="1:15" x14ac:dyDescent="0.25">
      <c r="A246" s="15"/>
      <c r="B246" s="15"/>
      <c r="C246" s="16"/>
      <c r="D246" s="15"/>
      <c r="E246" s="15"/>
      <c r="F246" s="15"/>
      <c r="G246" s="15"/>
      <c r="H246" s="16"/>
      <c r="I246" s="15"/>
      <c r="J246" s="15"/>
      <c r="K246" s="15"/>
      <c r="L246" s="15"/>
      <c r="M246" s="15"/>
      <c r="N246" s="14"/>
      <c r="O246" s="14"/>
    </row>
    <row r="247" spans="1:15" x14ac:dyDescent="0.25">
      <c r="A247" s="12"/>
      <c r="B247" s="12"/>
      <c r="C247" s="13"/>
      <c r="D247" s="12"/>
      <c r="E247" s="12"/>
      <c r="F247" s="12"/>
      <c r="G247" s="12"/>
      <c r="H247" s="13"/>
      <c r="I247" s="12"/>
      <c r="J247" s="12"/>
      <c r="K247" s="12"/>
      <c r="L247" s="12"/>
      <c r="M247" s="12"/>
      <c r="N247" s="14"/>
      <c r="O247" s="14"/>
    </row>
    <row r="248" spans="1:15" x14ac:dyDescent="0.25">
      <c r="A248" s="15"/>
      <c r="B248" s="15"/>
      <c r="C248" s="16"/>
      <c r="D248" s="15"/>
      <c r="E248" s="15"/>
      <c r="F248" s="15"/>
      <c r="G248" s="15"/>
      <c r="H248" s="16"/>
      <c r="I248" s="15"/>
      <c r="J248" s="15"/>
      <c r="K248" s="15"/>
      <c r="L248" s="15"/>
      <c r="M248" s="15"/>
      <c r="N248" s="14"/>
      <c r="O248" s="14"/>
    </row>
    <row r="249" spans="1:15" x14ac:dyDescent="0.25">
      <c r="A249" s="12"/>
      <c r="B249" s="12"/>
      <c r="C249" s="13"/>
      <c r="D249" s="12"/>
      <c r="E249" s="12"/>
      <c r="F249" s="12"/>
      <c r="G249" s="12"/>
      <c r="H249" s="13"/>
      <c r="I249" s="12"/>
      <c r="J249" s="12"/>
      <c r="K249" s="12"/>
      <c r="L249" s="12"/>
      <c r="M249" s="12"/>
      <c r="N249" s="14"/>
      <c r="O249" s="14"/>
    </row>
    <row r="250" spans="1:15" x14ac:dyDescent="0.25">
      <c r="A250" s="15"/>
      <c r="B250" s="15"/>
      <c r="C250" s="16"/>
      <c r="D250" s="15"/>
      <c r="E250" s="15"/>
      <c r="F250" s="15"/>
      <c r="G250" s="15"/>
      <c r="H250" s="16"/>
      <c r="I250" s="15"/>
      <c r="J250" s="15"/>
      <c r="K250" s="15"/>
      <c r="L250" s="15"/>
      <c r="M250" s="15"/>
      <c r="N250" s="14"/>
      <c r="O250" s="14"/>
    </row>
    <row r="251" spans="1:15" x14ac:dyDescent="0.25">
      <c r="A251" s="12"/>
      <c r="B251" s="12"/>
      <c r="C251" s="13"/>
      <c r="D251" s="12"/>
      <c r="E251" s="12"/>
      <c r="F251" s="12"/>
      <c r="G251" s="12"/>
      <c r="H251" s="13"/>
      <c r="I251" s="12"/>
      <c r="J251" s="12"/>
      <c r="K251" s="12"/>
      <c r="L251" s="12"/>
      <c r="M251" s="12"/>
      <c r="N251" s="14"/>
      <c r="O251" s="14"/>
    </row>
    <row r="252" spans="1:15" x14ac:dyDescent="0.25">
      <c r="A252" s="15"/>
      <c r="B252" s="15"/>
      <c r="C252" s="16"/>
      <c r="D252" s="15"/>
      <c r="E252" s="15"/>
      <c r="F252" s="15"/>
      <c r="G252" s="15"/>
      <c r="H252" s="16"/>
      <c r="I252" s="15"/>
      <c r="J252" s="15"/>
      <c r="K252" s="15"/>
      <c r="L252" s="15"/>
      <c r="M252" s="15"/>
      <c r="N252" s="14"/>
      <c r="O252" s="14"/>
    </row>
    <row r="253" spans="1:15" x14ac:dyDescent="0.25">
      <c r="A253" s="12"/>
      <c r="B253" s="12"/>
      <c r="C253" s="13"/>
      <c r="D253" s="12"/>
      <c r="E253" s="12"/>
      <c r="F253" s="12"/>
      <c r="G253" s="12"/>
      <c r="H253" s="13"/>
      <c r="I253" s="12"/>
      <c r="J253" s="12"/>
      <c r="K253" s="12"/>
      <c r="L253" s="12"/>
      <c r="M253" s="12"/>
      <c r="N253" s="14"/>
      <c r="O253" s="14"/>
    </row>
    <row r="254" spans="1:15" x14ac:dyDescent="0.25">
      <c r="A254" s="15"/>
      <c r="B254" s="15"/>
      <c r="C254" s="16"/>
      <c r="D254" s="15"/>
      <c r="E254" s="15"/>
      <c r="F254" s="15"/>
      <c r="G254" s="15"/>
      <c r="H254" s="16"/>
      <c r="I254" s="15"/>
      <c r="J254" s="15"/>
      <c r="K254" s="15"/>
      <c r="L254" s="15"/>
      <c r="M254" s="15"/>
      <c r="N254" s="14"/>
      <c r="O254" s="14"/>
    </row>
    <row r="255" spans="1:15" x14ac:dyDescent="0.25">
      <c r="A255" s="12"/>
      <c r="B255" s="12"/>
      <c r="C255" s="13"/>
      <c r="D255" s="12"/>
      <c r="E255" s="12"/>
      <c r="F255" s="12"/>
      <c r="G255" s="12"/>
      <c r="H255" s="13"/>
      <c r="I255" s="12"/>
      <c r="J255" s="12"/>
      <c r="K255" s="12"/>
      <c r="L255" s="12"/>
      <c r="M255" s="12"/>
      <c r="N255" s="14"/>
      <c r="O255" s="14"/>
    </row>
    <row r="256" spans="1:15" x14ac:dyDescent="0.25">
      <c r="A256" s="15"/>
      <c r="B256" s="15"/>
      <c r="C256" s="16"/>
      <c r="D256" s="15"/>
      <c r="E256" s="15"/>
      <c r="F256" s="15"/>
      <c r="G256" s="15"/>
      <c r="H256" s="16"/>
      <c r="I256" s="15"/>
      <c r="J256" s="15"/>
      <c r="K256" s="15"/>
      <c r="L256" s="15"/>
      <c r="M256" s="15"/>
      <c r="N256" s="14"/>
      <c r="O256" s="14"/>
    </row>
    <row r="257" spans="1:15" x14ac:dyDescent="0.25">
      <c r="A257" s="12"/>
      <c r="B257" s="12"/>
      <c r="C257" s="13"/>
      <c r="D257" s="12"/>
      <c r="E257" s="12"/>
      <c r="F257" s="12"/>
      <c r="G257" s="12"/>
      <c r="H257" s="13"/>
      <c r="I257" s="12"/>
      <c r="J257" s="12"/>
      <c r="K257" s="12"/>
      <c r="L257" s="12"/>
      <c r="M257" s="12"/>
      <c r="N257" s="14"/>
      <c r="O257" s="14"/>
    </row>
    <row r="258" spans="1:15" x14ac:dyDescent="0.25">
      <c r="A258" s="15"/>
      <c r="B258" s="15"/>
      <c r="C258" s="16"/>
      <c r="D258" s="15"/>
      <c r="E258" s="15"/>
      <c r="F258" s="15"/>
      <c r="G258" s="15"/>
      <c r="H258" s="16"/>
      <c r="I258" s="15"/>
      <c r="J258" s="15"/>
      <c r="K258" s="15"/>
      <c r="L258" s="15"/>
      <c r="M258" s="15"/>
      <c r="N258" s="14"/>
      <c r="O258" s="14"/>
    </row>
    <row r="259" spans="1:15" x14ac:dyDescent="0.25">
      <c r="A259" s="12"/>
      <c r="B259" s="12"/>
      <c r="C259" s="13"/>
      <c r="D259" s="12"/>
      <c r="E259" s="12"/>
      <c r="F259" s="12"/>
      <c r="G259" s="12"/>
      <c r="H259" s="13"/>
      <c r="I259" s="12"/>
      <c r="J259" s="12"/>
      <c r="K259" s="12"/>
      <c r="L259" s="12"/>
      <c r="M259" s="12"/>
      <c r="N259" s="14"/>
      <c r="O259" s="14"/>
    </row>
    <row r="260" spans="1:15" x14ac:dyDescent="0.25">
      <c r="A260" s="15"/>
      <c r="B260" s="15"/>
      <c r="C260" s="16"/>
      <c r="D260" s="15"/>
      <c r="E260" s="15"/>
      <c r="F260" s="15"/>
      <c r="G260" s="15"/>
      <c r="H260" s="16"/>
      <c r="I260" s="15"/>
      <c r="J260" s="15"/>
      <c r="K260" s="15"/>
      <c r="L260" s="15"/>
      <c r="M260" s="15"/>
      <c r="N260" s="14"/>
      <c r="O260" s="14"/>
    </row>
    <row r="261" spans="1:15" x14ac:dyDescent="0.25">
      <c r="A261" s="12"/>
      <c r="B261" s="12"/>
      <c r="C261" s="13"/>
      <c r="D261" s="12"/>
      <c r="E261" s="12"/>
      <c r="F261" s="12"/>
      <c r="G261" s="12"/>
      <c r="H261" s="13"/>
      <c r="I261" s="12"/>
      <c r="J261" s="12"/>
      <c r="K261" s="12"/>
      <c r="L261" s="12"/>
      <c r="M261" s="12"/>
      <c r="N261" s="14"/>
      <c r="O261" s="14"/>
    </row>
    <row r="262" spans="1:15" x14ac:dyDescent="0.25">
      <c r="A262" s="15"/>
      <c r="B262" s="15"/>
      <c r="C262" s="16"/>
      <c r="D262" s="15"/>
      <c r="E262" s="15"/>
      <c r="F262" s="15"/>
      <c r="G262" s="15"/>
      <c r="H262" s="16"/>
      <c r="I262" s="15"/>
      <c r="J262" s="15"/>
      <c r="K262" s="15"/>
      <c r="L262" s="15"/>
      <c r="M262" s="15"/>
      <c r="N262" s="14"/>
      <c r="O262" s="14"/>
    </row>
    <row r="263" spans="1:15" x14ac:dyDescent="0.25">
      <c r="A263" s="12"/>
      <c r="B263" s="12"/>
      <c r="C263" s="13"/>
      <c r="D263" s="12"/>
      <c r="E263" s="12"/>
      <c r="F263" s="12"/>
      <c r="G263" s="12"/>
      <c r="H263" s="13"/>
      <c r="I263" s="12"/>
      <c r="J263" s="12"/>
      <c r="K263" s="12"/>
      <c r="L263" s="12"/>
      <c r="M263" s="12"/>
      <c r="N263" s="14"/>
      <c r="O263" s="14"/>
    </row>
    <row r="264" spans="1:15" x14ac:dyDescent="0.25">
      <c r="A264" s="15"/>
      <c r="B264" s="15"/>
      <c r="C264" s="16"/>
      <c r="D264" s="15"/>
      <c r="E264" s="15"/>
      <c r="F264" s="15"/>
      <c r="G264" s="15"/>
      <c r="H264" s="16"/>
      <c r="I264" s="15"/>
      <c r="J264" s="15"/>
      <c r="K264" s="15"/>
      <c r="L264" s="15"/>
      <c r="M264" s="15"/>
      <c r="N264" s="14"/>
      <c r="O264" s="14"/>
    </row>
    <row r="265" spans="1:15" x14ac:dyDescent="0.25">
      <c r="A265" s="12"/>
      <c r="B265" s="12"/>
      <c r="C265" s="13"/>
      <c r="D265" s="12"/>
      <c r="E265" s="12"/>
      <c r="F265" s="12"/>
      <c r="G265" s="12"/>
      <c r="H265" s="13"/>
      <c r="I265" s="12"/>
      <c r="J265" s="12"/>
      <c r="K265" s="12"/>
      <c r="L265" s="12"/>
      <c r="M265" s="12"/>
      <c r="N265" s="14"/>
      <c r="O265" s="14"/>
    </row>
    <row r="266" spans="1:15" x14ac:dyDescent="0.25">
      <c r="A266" s="15"/>
      <c r="B266" s="15"/>
      <c r="C266" s="16"/>
      <c r="D266" s="15"/>
      <c r="E266" s="15"/>
      <c r="F266" s="15"/>
      <c r="G266" s="15"/>
      <c r="H266" s="16"/>
      <c r="I266" s="15"/>
      <c r="J266" s="15"/>
      <c r="K266" s="15"/>
      <c r="L266" s="15"/>
      <c r="M266" s="15"/>
      <c r="N266" s="14"/>
      <c r="O266" s="14"/>
    </row>
    <row r="267" spans="1:15" x14ac:dyDescent="0.25">
      <c r="A267" s="12"/>
      <c r="B267" s="12"/>
      <c r="C267" s="13"/>
      <c r="D267" s="12"/>
      <c r="E267" s="12"/>
      <c r="F267" s="12"/>
      <c r="G267" s="12"/>
      <c r="H267" s="13"/>
      <c r="I267" s="12"/>
      <c r="J267" s="12"/>
      <c r="K267" s="12"/>
      <c r="L267" s="12"/>
      <c r="M267" s="12"/>
      <c r="N267" s="14"/>
      <c r="O267" s="14"/>
    </row>
    <row r="268" spans="1:15" x14ac:dyDescent="0.25">
      <c r="A268" s="15"/>
      <c r="B268" s="15"/>
      <c r="C268" s="16"/>
      <c r="D268" s="15"/>
      <c r="E268" s="15"/>
      <c r="F268" s="15"/>
      <c r="G268" s="15"/>
      <c r="H268" s="16"/>
      <c r="I268" s="15"/>
      <c r="J268" s="15"/>
      <c r="K268" s="15"/>
      <c r="L268" s="15"/>
      <c r="M268" s="15"/>
      <c r="N268" s="14"/>
      <c r="O268" s="14"/>
    </row>
    <row r="269" spans="1:15" x14ac:dyDescent="0.25">
      <c r="A269" s="12"/>
      <c r="B269" s="12"/>
      <c r="C269" s="13"/>
      <c r="D269" s="12"/>
      <c r="E269" s="12"/>
      <c r="F269" s="12"/>
      <c r="G269" s="12"/>
      <c r="H269" s="13"/>
      <c r="I269" s="12"/>
      <c r="J269" s="12"/>
      <c r="K269" s="12"/>
      <c r="L269" s="12"/>
      <c r="M269" s="12"/>
      <c r="N269" s="14"/>
      <c r="O269" s="14"/>
    </row>
    <row r="270" spans="1:15" x14ac:dyDescent="0.25">
      <c r="A270" s="15"/>
      <c r="B270" s="15"/>
      <c r="C270" s="16"/>
      <c r="D270" s="15"/>
      <c r="E270" s="15"/>
      <c r="F270" s="15"/>
      <c r="G270" s="15"/>
      <c r="H270" s="16"/>
      <c r="I270" s="15"/>
      <c r="J270" s="15"/>
      <c r="K270" s="15"/>
      <c r="L270" s="15"/>
      <c r="M270" s="15"/>
      <c r="N270" s="14"/>
      <c r="O270" s="14"/>
    </row>
    <row r="271" spans="1:15" x14ac:dyDescent="0.25">
      <c r="A271" s="12"/>
      <c r="B271" s="12"/>
      <c r="C271" s="13"/>
      <c r="D271" s="12"/>
      <c r="E271" s="12"/>
      <c r="F271" s="12"/>
      <c r="G271" s="12"/>
      <c r="H271" s="13"/>
      <c r="I271" s="12"/>
      <c r="J271" s="12"/>
      <c r="K271" s="12"/>
      <c r="L271" s="12"/>
      <c r="M271" s="12"/>
      <c r="N271" s="14"/>
      <c r="O271" s="14"/>
    </row>
    <row r="272" spans="1:15" x14ac:dyDescent="0.25">
      <c r="A272" s="15"/>
      <c r="B272" s="15"/>
      <c r="C272" s="16"/>
      <c r="D272" s="15"/>
      <c r="E272" s="15"/>
      <c r="F272" s="15"/>
      <c r="G272" s="15"/>
      <c r="H272" s="16"/>
      <c r="I272" s="15"/>
      <c r="J272" s="15"/>
      <c r="K272" s="15"/>
      <c r="L272" s="15"/>
      <c r="M272" s="15"/>
      <c r="N272" s="14"/>
      <c r="O272" s="14"/>
    </row>
    <row r="273" spans="1:15" x14ac:dyDescent="0.25">
      <c r="A273" s="12"/>
      <c r="B273" s="12"/>
      <c r="C273" s="13"/>
      <c r="D273" s="12"/>
      <c r="E273" s="12"/>
      <c r="F273" s="12"/>
      <c r="G273" s="12"/>
      <c r="H273" s="13"/>
      <c r="I273" s="12"/>
      <c r="J273" s="12"/>
      <c r="K273" s="12"/>
      <c r="L273" s="12"/>
      <c r="M273" s="12"/>
      <c r="N273" s="14"/>
      <c r="O273" s="14"/>
    </row>
    <row r="274" spans="1:15" x14ac:dyDescent="0.25">
      <c r="A274" s="15"/>
      <c r="B274" s="15"/>
      <c r="C274" s="16"/>
      <c r="D274" s="15"/>
      <c r="E274" s="15"/>
      <c r="F274" s="15"/>
      <c r="G274" s="15"/>
      <c r="H274" s="16"/>
      <c r="I274" s="15"/>
      <c r="J274" s="15"/>
      <c r="K274" s="15"/>
      <c r="L274" s="15"/>
      <c r="M274" s="15"/>
      <c r="N274" s="14"/>
      <c r="O274" s="14"/>
    </row>
    <row r="275" spans="1:15" x14ac:dyDescent="0.25">
      <c r="A275" s="12"/>
      <c r="B275" s="12"/>
      <c r="C275" s="13"/>
      <c r="D275" s="12"/>
      <c r="E275" s="12"/>
      <c r="F275" s="12"/>
      <c r="G275" s="12"/>
      <c r="H275" s="13"/>
      <c r="I275" s="12"/>
      <c r="J275" s="12"/>
      <c r="K275" s="12"/>
      <c r="L275" s="12"/>
      <c r="M275" s="12"/>
      <c r="N275" s="14"/>
      <c r="O275" s="14"/>
    </row>
    <row r="276" spans="1:15" x14ac:dyDescent="0.25">
      <c r="A276" s="15"/>
      <c r="B276" s="15"/>
      <c r="C276" s="16"/>
      <c r="D276" s="15"/>
      <c r="E276" s="15"/>
      <c r="F276" s="15"/>
      <c r="G276" s="15"/>
      <c r="H276" s="16"/>
      <c r="I276" s="15"/>
      <c r="J276" s="15"/>
      <c r="K276" s="15"/>
      <c r="L276" s="15"/>
      <c r="M276" s="15"/>
      <c r="N276" s="14"/>
      <c r="O276" s="14"/>
    </row>
    <row r="277" spans="1:15" x14ac:dyDescent="0.25">
      <c r="A277" s="12"/>
      <c r="B277" s="12"/>
      <c r="C277" s="13"/>
      <c r="D277" s="12"/>
      <c r="E277" s="12"/>
      <c r="F277" s="12"/>
      <c r="G277" s="12"/>
      <c r="H277" s="13"/>
      <c r="I277" s="12"/>
      <c r="J277" s="12"/>
      <c r="K277" s="12"/>
      <c r="L277" s="12"/>
      <c r="M277" s="12"/>
      <c r="N277" s="14"/>
      <c r="O277" s="14"/>
    </row>
    <row r="278" spans="1:15" x14ac:dyDescent="0.25">
      <c r="A278" s="15"/>
      <c r="B278" s="15"/>
      <c r="C278" s="16"/>
      <c r="D278" s="15"/>
      <c r="E278" s="15"/>
      <c r="F278" s="15"/>
      <c r="G278" s="15"/>
      <c r="H278" s="16"/>
      <c r="I278" s="15"/>
      <c r="J278" s="15"/>
      <c r="K278" s="15"/>
      <c r="L278" s="15"/>
      <c r="M278" s="15"/>
      <c r="N278" s="14"/>
      <c r="O278" s="14"/>
    </row>
    <row r="279" spans="1:15" x14ac:dyDescent="0.25">
      <c r="A279" s="12"/>
      <c r="B279" s="12"/>
      <c r="C279" s="13"/>
      <c r="D279" s="12"/>
      <c r="E279" s="12"/>
      <c r="F279" s="12"/>
      <c r="G279" s="12"/>
      <c r="H279" s="13"/>
      <c r="I279" s="12"/>
      <c r="J279" s="12"/>
      <c r="K279" s="12"/>
      <c r="L279" s="12"/>
      <c r="M279" s="12"/>
      <c r="N279" s="14"/>
      <c r="O279" s="14"/>
    </row>
    <row r="280" spans="1:15" x14ac:dyDescent="0.25">
      <c r="A280" s="15"/>
      <c r="B280" s="15"/>
      <c r="C280" s="16"/>
      <c r="D280" s="15"/>
      <c r="E280" s="15"/>
      <c r="F280" s="15"/>
      <c r="G280" s="15"/>
      <c r="H280" s="16"/>
      <c r="I280" s="15"/>
      <c r="J280" s="15"/>
      <c r="K280" s="15"/>
      <c r="L280" s="15"/>
      <c r="M280" s="15"/>
      <c r="N280" s="14"/>
      <c r="O280" s="14"/>
    </row>
    <row r="281" spans="1:15" x14ac:dyDescent="0.25">
      <c r="A281" s="12"/>
      <c r="B281" s="12"/>
      <c r="C281" s="13"/>
      <c r="D281" s="12"/>
      <c r="E281" s="12"/>
      <c r="F281" s="12"/>
      <c r="G281" s="12"/>
      <c r="H281" s="13"/>
      <c r="I281" s="12"/>
      <c r="J281" s="12"/>
      <c r="K281" s="12"/>
      <c r="L281" s="12"/>
      <c r="M281" s="12"/>
      <c r="N281" s="14"/>
      <c r="O281" s="14"/>
    </row>
    <row r="282" spans="1:15" x14ac:dyDescent="0.25">
      <c r="A282" s="15"/>
      <c r="B282" s="15"/>
      <c r="C282" s="16"/>
      <c r="D282" s="15"/>
      <c r="E282" s="15"/>
      <c r="F282" s="15"/>
      <c r="G282" s="15"/>
      <c r="H282" s="16"/>
      <c r="I282" s="15"/>
      <c r="J282" s="15"/>
      <c r="K282" s="15"/>
      <c r="L282" s="15"/>
      <c r="M282" s="15"/>
      <c r="N282" s="14"/>
      <c r="O282" s="14"/>
    </row>
    <row r="283" spans="1:15" x14ac:dyDescent="0.25">
      <c r="A283" s="12"/>
      <c r="B283" s="12"/>
      <c r="C283" s="13"/>
      <c r="D283" s="12"/>
      <c r="E283" s="12"/>
      <c r="F283" s="12"/>
      <c r="G283" s="12"/>
      <c r="H283" s="13"/>
      <c r="I283" s="12"/>
      <c r="J283" s="12"/>
      <c r="K283" s="12"/>
      <c r="L283" s="12"/>
      <c r="M283" s="12"/>
      <c r="N283" s="14"/>
      <c r="O283" s="14"/>
    </row>
    <row r="284" spans="1:15" x14ac:dyDescent="0.25">
      <c r="A284" s="15"/>
      <c r="B284" s="15"/>
      <c r="C284" s="16"/>
      <c r="D284" s="15"/>
      <c r="E284" s="15"/>
      <c r="F284" s="15"/>
      <c r="G284" s="15"/>
      <c r="H284" s="16"/>
      <c r="I284" s="15"/>
      <c r="J284" s="15"/>
      <c r="K284" s="15"/>
      <c r="L284" s="15"/>
      <c r="M284" s="15"/>
      <c r="N284" s="14"/>
      <c r="O284" s="14"/>
    </row>
    <row r="285" spans="1:15" x14ac:dyDescent="0.25">
      <c r="A285" s="12"/>
      <c r="B285" s="12"/>
      <c r="C285" s="13"/>
      <c r="D285" s="12"/>
      <c r="E285" s="12"/>
      <c r="F285" s="12"/>
      <c r="G285" s="12"/>
      <c r="H285" s="13"/>
      <c r="I285" s="12"/>
      <c r="J285" s="12"/>
      <c r="K285" s="12"/>
      <c r="L285" s="12"/>
      <c r="M285" s="12"/>
      <c r="N285" s="14"/>
      <c r="O285" s="14"/>
    </row>
    <row r="286" spans="1:15" x14ac:dyDescent="0.25">
      <c r="A286" s="15"/>
      <c r="B286" s="15"/>
      <c r="C286" s="16"/>
      <c r="D286" s="15"/>
      <c r="E286" s="15"/>
      <c r="F286" s="15"/>
      <c r="G286" s="15"/>
      <c r="H286" s="16"/>
      <c r="I286" s="15"/>
      <c r="J286" s="15"/>
      <c r="K286" s="15"/>
      <c r="L286" s="15"/>
      <c r="M286" s="15"/>
      <c r="N286" s="14"/>
      <c r="O286" s="14"/>
    </row>
    <row r="287" spans="1:15" x14ac:dyDescent="0.25">
      <c r="A287" s="12"/>
      <c r="B287" s="12"/>
      <c r="C287" s="13"/>
      <c r="D287" s="12"/>
      <c r="E287" s="12"/>
      <c r="F287" s="12"/>
      <c r="G287" s="12"/>
      <c r="H287" s="13"/>
      <c r="I287" s="12"/>
      <c r="J287" s="12"/>
      <c r="K287" s="12"/>
      <c r="L287" s="12"/>
      <c r="M287" s="12"/>
      <c r="N287" s="14"/>
      <c r="O287" s="14"/>
    </row>
    <row r="288" spans="1:15" x14ac:dyDescent="0.25">
      <c r="A288" s="15"/>
      <c r="B288" s="15"/>
      <c r="C288" s="16"/>
      <c r="D288" s="15"/>
      <c r="E288" s="15"/>
      <c r="F288" s="15"/>
      <c r="G288" s="15"/>
      <c r="H288" s="16"/>
      <c r="I288" s="15"/>
      <c r="J288" s="15"/>
      <c r="K288" s="15"/>
      <c r="L288" s="15"/>
      <c r="M288" s="15"/>
      <c r="N288" s="14"/>
      <c r="O288" s="14"/>
    </row>
    <row r="289" spans="1:15" x14ac:dyDescent="0.25">
      <c r="A289" s="12"/>
      <c r="B289" s="12"/>
      <c r="C289" s="13"/>
      <c r="D289" s="12"/>
      <c r="E289" s="12"/>
      <c r="F289" s="12"/>
      <c r="G289" s="12"/>
      <c r="H289" s="13"/>
      <c r="I289" s="12"/>
      <c r="J289" s="12"/>
      <c r="K289" s="12"/>
      <c r="L289" s="12"/>
      <c r="M289" s="12"/>
      <c r="N289" s="14"/>
      <c r="O289" s="14"/>
    </row>
    <row r="290" spans="1:15" x14ac:dyDescent="0.25">
      <c r="A290" s="15"/>
      <c r="B290" s="15"/>
      <c r="C290" s="16"/>
      <c r="D290" s="15"/>
      <c r="E290" s="15"/>
      <c r="F290" s="15"/>
      <c r="G290" s="15"/>
      <c r="H290" s="16"/>
      <c r="I290" s="15"/>
      <c r="J290" s="15"/>
      <c r="K290" s="15"/>
      <c r="L290" s="15"/>
      <c r="M290" s="15"/>
      <c r="N290" s="14"/>
      <c r="O290" s="14"/>
    </row>
    <row r="291" spans="1:15" x14ac:dyDescent="0.25">
      <c r="A291" s="12"/>
      <c r="B291" s="12"/>
      <c r="C291" s="13"/>
      <c r="D291" s="12"/>
      <c r="E291" s="12"/>
      <c r="F291" s="12"/>
      <c r="G291" s="12"/>
      <c r="H291" s="13"/>
      <c r="I291" s="12"/>
      <c r="J291" s="12"/>
      <c r="K291" s="12"/>
      <c r="L291" s="12"/>
      <c r="M291" s="12"/>
      <c r="N291" s="14"/>
      <c r="O291" s="14"/>
    </row>
    <row r="292" spans="1:15" x14ac:dyDescent="0.25">
      <c r="A292" s="15"/>
      <c r="B292" s="15"/>
      <c r="C292" s="16"/>
      <c r="D292" s="15"/>
      <c r="E292" s="15"/>
      <c r="F292" s="15"/>
      <c r="G292" s="15"/>
      <c r="H292" s="16"/>
      <c r="I292" s="15"/>
      <c r="J292" s="15"/>
      <c r="K292" s="15"/>
      <c r="L292" s="15"/>
      <c r="M292" s="15"/>
      <c r="N292" s="14"/>
      <c r="O292" s="14"/>
    </row>
    <row r="293" spans="1:15" x14ac:dyDescent="0.25">
      <c r="A293" s="12"/>
      <c r="B293" s="12"/>
      <c r="C293" s="13"/>
      <c r="D293" s="12"/>
      <c r="E293" s="12"/>
      <c r="F293" s="12"/>
      <c r="G293" s="12"/>
      <c r="H293" s="13"/>
      <c r="I293" s="12"/>
      <c r="J293" s="12"/>
      <c r="K293" s="12"/>
      <c r="L293" s="12"/>
      <c r="M293" s="12"/>
      <c r="N293" s="14"/>
      <c r="O293" s="14"/>
    </row>
    <row r="294" spans="1:15" x14ac:dyDescent="0.25">
      <c r="A294" s="15"/>
      <c r="B294" s="15"/>
      <c r="C294" s="16"/>
      <c r="D294" s="15"/>
      <c r="E294" s="15"/>
      <c r="F294" s="15"/>
      <c r="G294" s="15"/>
      <c r="H294" s="16"/>
      <c r="I294" s="15"/>
      <c r="J294" s="15"/>
      <c r="K294" s="15"/>
      <c r="L294" s="15"/>
      <c r="M294" s="15"/>
      <c r="N294" s="14"/>
      <c r="O294" s="14"/>
    </row>
    <row r="295" spans="1:15" x14ac:dyDescent="0.25">
      <c r="A295" s="12"/>
      <c r="B295" s="12"/>
      <c r="C295" s="13"/>
      <c r="D295" s="12"/>
      <c r="E295" s="12"/>
      <c r="F295" s="12"/>
      <c r="G295" s="12"/>
      <c r="H295" s="13"/>
      <c r="I295" s="12"/>
      <c r="J295" s="12"/>
      <c r="K295" s="12"/>
      <c r="L295" s="12"/>
      <c r="M295" s="12"/>
      <c r="N295" s="14"/>
      <c r="O295" s="14"/>
    </row>
    <row r="296" spans="1:15" x14ac:dyDescent="0.25">
      <c r="A296" s="15"/>
      <c r="B296" s="15"/>
      <c r="C296" s="16"/>
      <c r="D296" s="15"/>
      <c r="E296" s="15"/>
      <c r="F296" s="15"/>
      <c r="G296" s="15"/>
      <c r="H296" s="16"/>
      <c r="I296" s="15"/>
      <c r="J296" s="15"/>
      <c r="K296" s="15"/>
      <c r="L296" s="15"/>
      <c r="M296" s="15"/>
      <c r="N296" s="14"/>
      <c r="O296" s="14"/>
    </row>
    <row r="297" spans="1:15" x14ac:dyDescent="0.25">
      <c r="A297" s="12"/>
      <c r="B297" s="12"/>
      <c r="C297" s="13"/>
      <c r="D297" s="12"/>
      <c r="E297" s="12"/>
      <c r="F297" s="12"/>
      <c r="G297" s="12"/>
      <c r="H297" s="13"/>
      <c r="I297" s="12"/>
      <c r="J297" s="12"/>
      <c r="K297" s="12"/>
      <c r="L297" s="12"/>
      <c r="M297" s="12"/>
      <c r="N297" s="14"/>
      <c r="O297" s="14"/>
    </row>
    <row r="298" spans="1:15" x14ac:dyDescent="0.25">
      <c r="A298" s="15"/>
      <c r="B298" s="15"/>
      <c r="C298" s="16"/>
      <c r="D298" s="15"/>
      <c r="E298" s="15"/>
      <c r="F298" s="15"/>
      <c r="G298" s="15"/>
      <c r="H298" s="16"/>
      <c r="I298" s="15"/>
      <c r="J298" s="15"/>
      <c r="K298" s="15"/>
      <c r="L298" s="15"/>
      <c r="M298" s="15"/>
      <c r="N298" s="14"/>
      <c r="O298" s="14"/>
    </row>
    <row r="299" spans="1:15" x14ac:dyDescent="0.25">
      <c r="A299" s="12"/>
      <c r="B299" s="12"/>
      <c r="C299" s="13"/>
      <c r="D299" s="12"/>
      <c r="E299" s="12"/>
      <c r="F299" s="12"/>
      <c r="G299" s="12"/>
      <c r="H299" s="13"/>
      <c r="I299" s="12"/>
      <c r="J299" s="12"/>
      <c r="K299" s="12"/>
      <c r="L299" s="12"/>
      <c r="M299" s="12"/>
      <c r="N299" s="14"/>
      <c r="O299" s="14"/>
    </row>
    <row r="300" spans="1:15" x14ac:dyDescent="0.25">
      <c r="A300" s="15"/>
      <c r="B300" s="15"/>
      <c r="C300" s="16"/>
      <c r="D300" s="15"/>
      <c r="E300" s="15"/>
      <c r="F300" s="15"/>
      <c r="G300" s="15"/>
      <c r="H300" s="16"/>
      <c r="I300" s="15"/>
      <c r="J300" s="15"/>
      <c r="K300" s="15"/>
      <c r="L300" s="15"/>
      <c r="M300" s="15"/>
      <c r="N300" s="14"/>
      <c r="O300" s="14"/>
    </row>
    <row r="301" spans="1:15" x14ac:dyDescent="0.25">
      <c r="A301" s="12"/>
      <c r="B301" s="12"/>
      <c r="C301" s="13"/>
      <c r="D301" s="12"/>
      <c r="E301" s="12"/>
      <c r="F301" s="12"/>
      <c r="G301" s="12"/>
      <c r="H301" s="13"/>
      <c r="I301" s="12"/>
      <c r="J301" s="12"/>
      <c r="K301" s="12"/>
      <c r="L301" s="12"/>
      <c r="M301" s="12"/>
      <c r="N301" s="14"/>
      <c r="O301" s="14"/>
    </row>
    <row r="302" spans="1:15" x14ac:dyDescent="0.25">
      <c r="A302" s="15"/>
      <c r="B302" s="15"/>
      <c r="C302" s="16"/>
      <c r="D302" s="15"/>
      <c r="E302" s="15"/>
      <c r="F302" s="15"/>
      <c r="G302" s="15"/>
      <c r="H302" s="16"/>
      <c r="I302" s="15"/>
      <c r="J302" s="15"/>
      <c r="K302" s="15"/>
      <c r="L302" s="15"/>
      <c r="M302" s="15"/>
      <c r="N302" s="14"/>
      <c r="O302" s="14"/>
    </row>
    <row r="303" spans="1:15" x14ac:dyDescent="0.25">
      <c r="A303" s="12"/>
      <c r="B303" s="12"/>
      <c r="C303" s="13"/>
      <c r="D303" s="12"/>
      <c r="E303" s="12"/>
      <c r="F303" s="12"/>
      <c r="G303" s="12"/>
      <c r="H303" s="13"/>
      <c r="I303" s="12"/>
      <c r="J303" s="12"/>
      <c r="K303" s="12"/>
      <c r="L303" s="12"/>
      <c r="M303" s="12"/>
      <c r="N303" s="14"/>
      <c r="O303" s="14"/>
    </row>
    <row r="304" spans="1:15" x14ac:dyDescent="0.25">
      <c r="A304" s="15"/>
      <c r="B304" s="15"/>
      <c r="C304" s="16"/>
      <c r="D304" s="15"/>
      <c r="E304" s="15"/>
      <c r="F304" s="15"/>
      <c r="G304" s="15"/>
      <c r="H304" s="16"/>
      <c r="I304" s="15"/>
      <c r="J304" s="15"/>
      <c r="K304" s="15"/>
      <c r="L304" s="15"/>
      <c r="M304" s="15"/>
      <c r="N304" s="14"/>
      <c r="O304" s="14"/>
    </row>
    <row r="305" spans="1:15" x14ac:dyDescent="0.25">
      <c r="A305" s="12"/>
      <c r="B305" s="12"/>
      <c r="C305" s="13"/>
      <c r="D305" s="12"/>
      <c r="E305" s="12"/>
      <c r="F305" s="12"/>
      <c r="G305" s="12"/>
      <c r="H305" s="13"/>
      <c r="I305" s="12"/>
      <c r="J305" s="12"/>
      <c r="K305" s="12"/>
      <c r="L305" s="12"/>
      <c r="M305" s="12"/>
      <c r="N305" s="14"/>
      <c r="O305" s="14"/>
    </row>
    <row r="306" spans="1:15" x14ac:dyDescent="0.25">
      <c r="A306" s="15"/>
      <c r="B306" s="15"/>
      <c r="C306" s="16"/>
      <c r="D306" s="15"/>
      <c r="E306" s="15"/>
      <c r="F306" s="15"/>
      <c r="G306" s="15"/>
      <c r="H306" s="16"/>
      <c r="I306" s="15"/>
      <c r="J306" s="15"/>
      <c r="K306" s="15"/>
      <c r="L306" s="15"/>
      <c r="M306" s="15"/>
      <c r="N306" s="14"/>
      <c r="O306" s="14"/>
    </row>
    <row r="307" spans="1:15" x14ac:dyDescent="0.25">
      <c r="A307" s="12"/>
      <c r="B307" s="12"/>
      <c r="C307" s="13"/>
      <c r="D307" s="12"/>
      <c r="E307" s="12"/>
      <c r="F307" s="12"/>
      <c r="G307" s="12"/>
      <c r="H307" s="13"/>
      <c r="I307" s="12"/>
      <c r="J307" s="12"/>
      <c r="K307" s="12"/>
      <c r="L307" s="12"/>
      <c r="M307" s="12"/>
      <c r="N307" s="14"/>
      <c r="O307" s="14"/>
    </row>
    <row r="308" spans="1:15" x14ac:dyDescent="0.25">
      <c r="A308" s="15"/>
      <c r="B308" s="15"/>
      <c r="C308" s="16"/>
      <c r="D308" s="15"/>
      <c r="E308" s="15"/>
      <c r="F308" s="15"/>
      <c r="G308" s="15"/>
      <c r="H308" s="16"/>
      <c r="I308" s="15"/>
      <c r="J308" s="15"/>
      <c r="K308" s="15"/>
      <c r="L308" s="15"/>
      <c r="M308" s="15"/>
      <c r="N308" s="14"/>
      <c r="O308" s="14"/>
    </row>
    <row r="309" spans="1:15" x14ac:dyDescent="0.25">
      <c r="A309" s="12"/>
      <c r="B309" s="12"/>
      <c r="C309" s="13"/>
      <c r="D309" s="12"/>
      <c r="E309" s="12"/>
      <c r="F309" s="12"/>
      <c r="G309" s="12"/>
      <c r="H309" s="13"/>
      <c r="I309" s="12"/>
      <c r="J309" s="12"/>
      <c r="K309" s="12"/>
      <c r="L309" s="12"/>
      <c r="M309" s="12"/>
      <c r="N309" s="14"/>
      <c r="O309" s="14"/>
    </row>
    <row r="310" spans="1:15" x14ac:dyDescent="0.25">
      <c r="A310" s="15"/>
      <c r="B310" s="15"/>
      <c r="C310" s="16"/>
      <c r="D310" s="15"/>
      <c r="E310" s="15"/>
      <c r="F310" s="15"/>
      <c r="G310" s="15"/>
      <c r="H310" s="16"/>
      <c r="I310" s="15"/>
      <c r="J310" s="15"/>
      <c r="K310" s="15"/>
      <c r="L310" s="15"/>
      <c r="M310" s="15"/>
      <c r="N310" s="14"/>
      <c r="O310" s="14"/>
    </row>
    <row r="311" spans="1:15" x14ac:dyDescent="0.25">
      <c r="A311" s="12"/>
      <c r="B311" s="12"/>
      <c r="C311" s="13"/>
      <c r="D311" s="12"/>
      <c r="E311" s="12"/>
      <c r="F311" s="12"/>
      <c r="G311" s="12"/>
      <c r="H311" s="13"/>
      <c r="I311" s="12"/>
      <c r="J311" s="12"/>
      <c r="K311" s="12"/>
      <c r="L311" s="12"/>
      <c r="M311" s="12"/>
      <c r="N311" s="14"/>
      <c r="O311" s="14"/>
    </row>
    <row r="312" spans="1:15" x14ac:dyDescent="0.25">
      <c r="A312" s="15"/>
      <c r="B312" s="15"/>
      <c r="C312" s="16"/>
      <c r="D312" s="15"/>
      <c r="E312" s="15"/>
      <c r="F312" s="15"/>
      <c r="G312" s="15"/>
      <c r="H312" s="16"/>
      <c r="I312" s="15"/>
      <c r="J312" s="15"/>
      <c r="K312" s="15"/>
      <c r="L312" s="15"/>
      <c r="M312" s="15"/>
      <c r="N312" s="14"/>
      <c r="O312" s="14"/>
    </row>
    <row r="313" spans="1:15" x14ac:dyDescent="0.25">
      <c r="A313" s="12"/>
      <c r="B313" s="12"/>
      <c r="C313" s="13"/>
      <c r="D313" s="12"/>
      <c r="E313" s="12"/>
      <c r="F313" s="12"/>
      <c r="G313" s="12"/>
      <c r="H313" s="13"/>
      <c r="I313" s="12"/>
      <c r="J313" s="12"/>
      <c r="K313" s="12"/>
      <c r="L313" s="12"/>
      <c r="M313" s="12"/>
      <c r="N313" s="14"/>
      <c r="O313" s="14"/>
    </row>
    <row r="314" spans="1:15" x14ac:dyDescent="0.25">
      <c r="A314" s="15"/>
      <c r="B314" s="15"/>
      <c r="C314" s="16"/>
      <c r="D314" s="15"/>
      <c r="E314" s="15"/>
      <c r="F314" s="15"/>
      <c r="G314" s="15"/>
      <c r="H314" s="16"/>
      <c r="I314" s="15"/>
      <c r="J314" s="15"/>
      <c r="K314" s="15"/>
      <c r="L314" s="15"/>
      <c r="M314" s="15"/>
      <c r="N314" s="14"/>
      <c r="O314" s="14"/>
    </row>
    <row r="315" spans="1:15" x14ac:dyDescent="0.25">
      <c r="A315" s="12"/>
      <c r="B315" s="12"/>
      <c r="C315" s="13"/>
      <c r="D315" s="12"/>
      <c r="E315" s="12"/>
      <c r="F315" s="12"/>
      <c r="G315" s="12"/>
      <c r="H315" s="13"/>
      <c r="I315" s="12"/>
      <c r="J315" s="12"/>
      <c r="K315" s="12"/>
      <c r="L315" s="12"/>
      <c r="M315" s="12"/>
      <c r="N315" s="14"/>
      <c r="O315" s="14"/>
    </row>
    <row r="316" spans="1:15" x14ac:dyDescent="0.25">
      <c r="A316" s="15"/>
      <c r="B316" s="15"/>
      <c r="C316" s="16"/>
      <c r="D316" s="15"/>
      <c r="E316" s="15"/>
      <c r="F316" s="15"/>
      <c r="G316" s="15"/>
      <c r="H316" s="16"/>
      <c r="I316" s="15"/>
      <c r="J316" s="15"/>
      <c r="K316" s="15"/>
      <c r="L316" s="15"/>
      <c r="M316" s="15"/>
      <c r="N316" s="14"/>
      <c r="O316" s="14"/>
    </row>
    <row r="317" spans="1:15" x14ac:dyDescent="0.25">
      <c r="A317" s="12"/>
      <c r="B317" s="12"/>
      <c r="C317" s="13"/>
      <c r="D317" s="12"/>
      <c r="E317" s="12"/>
      <c r="F317" s="12"/>
      <c r="G317" s="12"/>
      <c r="H317" s="13"/>
      <c r="I317" s="12"/>
      <c r="J317" s="12"/>
      <c r="K317" s="12"/>
      <c r="L317" s="12"/>
      <c r="M317" s="12"/>
      <c r="N317" s="14"/>
      <c r="O317" s="14"/>
    </row>
    <row r="318" spans="1:15" x14ac:dyDescent="0.25">
      <c r="A318" s="15"/>
      <c r="B318" s="15"/>
      <c r="C318" s="16"/>
      <c r="D318" s="15"/>
      <c r="E318" s="15"/>
      <c r="F318" s="15"/>
      <c r="G318" s="15"/>
      <c r="H318" s="16"/>
      <c r="I318" s="15"/>
      <c r="J318" s="15"/>
      <c r="K318" s="15"/>
      <c r="L318" s="15"/>
      <c r="M318" s="15"/>
      <c r="N318" s="14"/>
      <c r="O318" s="14"/>
    </row>
    <row r="319" spans="1:15" x14ac:dyDescent="0.25">
      <c r="A319" s="12"/>
      <c r="B319" s="12"/>
      <c r="C319" s="13"/>
      <c r="D319" s="12"/>
      <c r="E319" s="12"/>
      <c r="F319" s="12"/>
      <c r="G319" s="12"/>
      <c r="H319" s="13"/>
      <c r="I319" s="12"/>
      <c r="J319" s="12"/>
      <c r="K319" s="12"/>
      <c r="L319" s="12"/>
      <c r="M319" s="12"/>
      <c r="N319" s="14"/>
      <c r="O319" s="14"/>
    </row>
    <row r="320" spans="1:15" x14ac:dyDescent="0.25">
      <c r="A320" s="15"/>
      <c r="B320" s="15"/>
      <c r="C320" s="16"/>
      <c r="D320" s="15"/>
      <c r="E320" s="15"/>
      <c r="F320" s="15"/>
      <c r="G320" s="15"/>
      <c r="H320" s="16"/>
      <c r="I320" s="15"/>
      <c r="J320" s="15"/>
      <c r="K320" s="15"/>
      <c r="L320" s="15"/>
      <c r="M320" s="15"/>
      <c r="N320" s="14"/>
      <c r="O320" s="14"/>
    </row>
    <row r="321" spans="1:15" x14ac:dyDescent="0.25">
      <c r="A321" s="12"/>
      <c r="B321" s="12"/>
      <c r="C321" s="13"/>
      <c r="D321" s="12"/>
      <c r="E321" s="12"/>
      <c r="F321" s="12"/>
      <c r="G321" s="12"/>
      <c r="H321" s="13"/>
      <c r="I321" s="12"/>
      <c r="J321" s="12"/>
      <c r="K321" s="12"/>
      <c r="L321" s="12"/>
      <c r="M321" s="12"/>
      <c r="N321" s="14"/>
      <c r="O321" s="14"/>
    </row>
    <row r="322" spans="1:15" x14ac:dyDescent="0.25">
      <c r="A322" s="15"/>
      <c r="B322" s="15"/>
      <c r="C322" s="16"/>
      <c r="D322" s="15"/>
      <c r="E322" s="15"/>
      <c r="F322" s="15"/>
      <c r="G322" s="15"/>
      <c r="H322" s="16"/>
      <c r="I322" s="15"/>
      <c r="J322" s="15"/>
      <c r="K322" s="15"/>
      <c r="L322" s="15"/>
      <c r="M322" s="15"/>
      <c r="N322" s="14"/>
      <c r="O322" s="14"/>
    </row>
    <row r="323" spans="1:15" x14ac:dyDescent="0.25">
      <c r="A323" s="12"/>
      <c r="B323" s="12"/>
      <c r="C323" s="13"/>
      <c r="D323" s="12"/>
      <c r="E323" s="12"/>
      <c r="F323" s="12"/>
      <c r="G323" s="12"/>
      <c r="H323" s="13"/>
      <c r="I323" s="12"/>
      <c r="J323" s="12"/>
      <c r="K323" s="12"/>
      <c r="L323" s="12"/>
      <c r="M323" s="12"/>
      <c r="N323" s="14"/>
      <c r="O323" s="14"/>
    </row>
    <row r="324" spans="1:15" x14ac:dyDescent="0.25">
      <c r="A324" s="15"/>
      <c r="B324" s="15"/>
      <c r="C324" s="16"/>
      <c r="D324" s="15"/>
      <c r="E324" s="15"/>
      <c r="F324" s="15"/>
      <c r="G324" s="15"/>
      <c r="H324" s="16"/>
      <c r="I324" s="15"/>
      <c r="J324" s="15"/>
      <c r="K324" s="15"/>
      <c r="L324" s="15"/>
      <c r="M324" s="15"/>
      <c r="N324" s="14"/>
      <c r="O324" s="14"/>
    </row>
    <row r="325" spans="1:15" x14ac:dyDescent="0.25">
      <c r="A325" s="12"/>
      <c r="B325" s="12"/>
      <c r="C325" s="13"/>
      <c r="D325" s="12"/>
      <c r="E325" s="12"/>
      <c r="F325" s="12"/>
      <c r="G325" s="12"/>
      <c r="H325" s="13"/>
      <c r="I325" s="12"/>
      <c r="J325" s="12"/>
      <c r="K325" s="12"/>
      <c r="L325" s="12"/>
      <c r="M325" s="12"/>
      <c r="N325" s="14"/>
      <c r="O325" s="14"/>
    </row>
    <row r="326" spans="1:15" x14ac:dyDescent="0.25">
      <c r="A326" s="15"/>
      <c r="B326" s="15"/>
      <c r="C326" s="16"/>
      <c r="D326" s="15"/>
      <c r="E326" s="15"/>
      <c r="F326" s="15"/>
      <c r="G326" s="15"/>
      <c r="H326" s="16"/>
      <c r="I326" s="15"/>
      <c r="J326" s="15"/>
      <c r="K326" s="15"/>
      <c r="L326" s="15"/>
      <c r="M326" s="15"/>
      <c r="N326" s="14"/>
      <c r="O326" s="14"/>
    </row>
    <row r="327" spans="1:15" x14ac:dyDescent="0.25">
      <c r="A327" s="12"/>
      <c r="B327" s="12"/>
      <c r="C327" s="13"/>
      <c r="D327" s="12"/>
      <c r="E327" s="12"/>
      <c r="F327" s="12"/>
      <c r="G327" s="12"/>
      <c r="H327" s="13"/>
      <c r="I327" s="12"/>
      <c r="J327" s="12"/>
      <c r="K327" s="12"/>
      <c r="L327" s="12"/>
      <c r="M327" s="12"/>
      <c r="N327" s="14"/>
      <c r="O327" s="14"/>
    </row>
    <row r="328" spans="1:15" x14ac:dyDescent="0.25">
      <c r="A328" s="15"/>
      <c r="B328" s="15"/>
      <c r="C328" s="16"/>
      <c r="D328" s="15"/>
      <c r="E328" s="15"/>
      <c r="F328" s="15"/>
      <c r="G328" s="15"/>
      <c r="H328" s="16"/>
      <c r="I328" s="15"/>
      <c r="J328" s="15"/>
      <c r="K328" s="15"/>
      <c r="L328" s="15"/>
      <c r="M328" s="15"/>
      <c r="N328" s="14"/>
      <c r="O328" s="14"/>
    </row>
    <row r="329" spans="1:15" x14ac:dyDescent="0.25">
      <c r="A329" s="12"/>
      <c r="B329" s="12"/>
      <c r="C329" s="13"/>
      <c r="D329" s="12"/>
      <c r="E329" s="12"/>
      <c r="F329" s="12"/>
      <c r="G329" s="12"/>
      <c r="H329" s="13"/>
      <c r="I329" s="12"/>
      <c r="J329" s="12"/>
      <c r="K329" s="12"/>
      <c r="L329" s="12"/>
      <c r="M329" s="12"/>
      <c r="N329" s="14"/>
      <c r="O329" s="14"/>
    </row>
    <row r="330" spans="1:15" x14ac:dyDescent="0.25">
      <c r="A330" s="15"/>
      <c r="B330" s="15"/>
      <c r="C330" s="16"/>
      <c r="D330" s="15"/>
      <c r="E330" s="15"/>
      <c r="F330" s="15"/>
      <c r="G330" s="15"/>
      <c r="H330" s="16"/>
      <c r="I330" s="15"/>
      <c r="J330" s="15"/>
      <c r="K330" s="15"/>
      <c r="L330" s="15"/>
      <c r="M330" s="15"/>
      <c r="N330" s="14"/>
      <c r="O330" s="14"/>
    </row>
    <row r="331" spans="1:15" x14ac:dyDescent="0.25">
      <c r="A331" s="12"/>
      <c r="B331" s="12"/>
      <c r="C331" s="13"/>
      <c r="D331" s="12"/>
      <c r="E331" s="12"/>
      <c r="F331" s="12"/>
      <c r="G331" s="12"/>
      <c r="H331" s="13"/>
      <c r="I331" s="12"/>
      <c r="J331" s="12"/>
      <c r="K331" s="12"/>
      <c r="L331" s="12"/>
      <c r="M331" s="12"/>
      <c r="N331" s="14"/>
      <c r="O331" s="14"/>
    </row>
    <row r="332" spans="1:15" x14ac:dyDescent="0.25">
      <c r="A332" s="15"/>
      <c r="B332" s="15"/>
      <c r="C332" s="16"/>
      <c r="D332" s="15"/>
      <c r="E332" s="15"/>
      <c r="F332" s="15"/>
      <c r="G332" s="15"/>
      <c r="H332" s="16"/>
      <c r="I332" s="15"/>
      <c r="J332" s="15"/>
      <c r="K332" s="15"/>
      <c r="L332" s="15"/>
      <c r="M332" s="15"/>
      <c r="N332" s="14"/>
      <c r="O332" s="14"/>
    </row>
    <row r="333" spans="1:15" x14ac:dyDescent="0.25">
      <c r="A333" s="12"/>
      <c r="B333" s="12"/>
      <c r="C333" s="13"/>
      <c r="D333" s="12"/>
      <c r="E333" s="12"/>
      <c r="F333" s="12"/>
      <c r="G333" s="12"/>
      <c r="H333" s="13"/>
      <c r="I333" s="12"/>
      <c r="J333" s="12"/>
      <c r="K333" s="12"/>
      <c r="L333" s="12"/>
      <c r="M333" s="12"/>
      <c r="N333" s="14"/>
      <c r="O333" s="14"/>
    </row>
    <row r="334" spans="1:15" x14ac:dyDescent="0.25">
      <c r="A334" s="15"/>
      <c r="B334" s="15"/>
      <c r="C334" s="16"/>
      <c r="D334" s="15"/>
      <c r="E334" s="15"/>
      <c r="F334" s="15"/>
      <c r="G334" s="15"/>
      <c r="H334" s="16"/>
      <c r="I334" s="15"/>
      <c r="J334" s="15"/>
      <c r="K334" s="15"/>
      <c r="L334" s="15"/>
      <c r="M334" s="15"/>
      <c r="N334" s="14"/>
      <c r="O334" s="14"/>
    </row>
    <row r="335" spans="1:15" x14ac:dyDescent="0.25">
      <c r="A335" s="12"/>
      <c r="B335" s="12"/>
      <c r="C335" s="13"/>
      <c r="D335" s="12"/>
      <c r="E335" s="12"/>
      <c r="F335" s="12"/>
      <c r="G335" s="12"/>
      <c r="H335" s="13"/>
      <c r="I335" s="12"/>
      <c r="J335" s="12"/>
      <c r="K335" s="12"/>
      <c r="L335" s="12"/>
      <c r="M335" s="12"/>
      <c r="N335" s="14"/>
      <c r="O335" s="14"/>
    </row>
    <row r="336" spans="1:15" x14ac:dyDescent="0.25">
      <c r="A336" s="15"/>
      <c r="B336" s="15"/>
      <c r="C336" s="16"/>
      <c r="D336" s="15"/>
      <c r="E336" s="15"/>
      <c r="F336" s="15"/>
      <c r="G336" s="15"/>
      <c r="H336" s="16"/>
      <c r="I336" s="15"/>
      <c r="J336" s="15"/>
      <c r="K336" s="15"/>
      <c r="L336" s="15"/>
      <c r="M336" s="15"/>
      <c r="N336" s="14"/>
      <c r="O336" s="14"/>
    </row>
    <row r="337" spans="1:15" x14ac:dyDescent="0.25">
      <c r="A337" s="12"/>
      <c r="B337" s="12"/>
      <c r="C337" s="13"/>
      <c r="D337" s="12"/>
      <c r="E337" s="12"/>
      <c r="F337" s="12"/>
      <c r="G337" s="12"/>
      <c r="H337" s="13"/>
      <c r="I337" s="12"/>
      <c r="J337" s="12"/>
      <c r="K337" s="12"/>
      <c r="L337" s="12"/>
      <c r="M337" s="12"/>
      <c r="N337" s="14"/>
      <c r="O337" s="14"/>
    </row>
    <row r="338" spans="1:15" x14ac:dyDescent="0.25">
      <c r="A338" s="15"/>
      <c r="B338" s="15"/>
      <c r="C338" s="16"/>
      <c r="D338" s="15"/>
      <c r="E338" s="15"/>
      <c r="F338" s="15"/>
      <c r="G338" s="15"/>
      <c r="H338" s="16"/>
      <c r="I338" s="15"/>
      <c r="J338" s="15"/>
      <c r="K338" s="15"/>
      <c r="L338" s="15"/>
      <c r="M338" s="15"/>
      <c r="N338" s="14"/>
      <c r="O338" s="14"/>
    </row>
    <row r="339" spans="1:15" x14ac:dyDescent="0.25">
      <c r="A339" s="12"/>
      <c r="B339" s="12"/>
      <c r="C339" s="13"/>
      <c r="D339" s="12"/>
      <c r="E339" s="12"/>
      <c r="F339" s="12"/>
      <c r="G339" s="12"/>
      <c r="H339" s="13"/>
      <c r="I339" s="12"/>
      <c r="J339" s="12"/>
      <c r="K339" s="12"/>
      <c r="L339" s="12"/>
      <c r="M339" s="12"/>
      <c r="N339" s="14"/>
      <c r="O339" s="14"/>
    </row>
    <row r="340" spans="1:15" x14ac:dyDescent="0.25">
      <c r="A340" s="15"/>
      <c r="B340" s="15"/>
      <c r="C340" s="16"/>
      <c r="D340" s="15"/>
      <c r="E340" s="15"/>
      <c r="F340" s="15"/>
      <c r="G340" s="15"/>
      <c r="H340" s="16"/>
      <c r="I340" s="15"/>
      <c r="J340" s="15"/>
      <c r="K340" s="15"/>
      <c r="L340" s="15"/>
      <c r="M340" s="15"/>
      <c r="N340" s="14"/>
      <c r="O340" s="14"/>
    </row>
    <row r="341" spans="1:15" x14ac:dyDescent="0.25">
      <c r="A341" s="12"/>
      <c r="B341" s="12"/>
      <c r="C341" s="13"/>
      <c r="D341" s="12"/>
      <c r="E341" s="12"/>
      <c r="F341" s="12"/>
      <c r="G341" s="12"/>
      <c r="H341" s="13"/>
      <c r="I341" s="12"/>
      <c r="J341" s="12"/>
      <c r="K341" s="12"/>
      <c r="L341" s="12"/>
      <c r="M341" s="12"/>
      <c r="N341" s="14"/>
      <c r="O341" s="14"/>
    </row>
    <row r="342" spans="1:15" x14ac:dyDescent="0.25">
      <c r="A342" s="15"/>
      <c r="B342" s="15"/>
      <c r="C342" s="16"/>
      <c r="D342" s="15"/>
      <c r="E342" s="15"/>
      <c r="F342" s="15"/>
      <c r="G342" s="15"/>
      <c r="H342" s="16"/>
      <c r="I342" s="15"/>
      <c r="J342" s="15"/>
      <c r="K342" s="15"/>
      <c r="L342" s="15"/>
      <c r="M342" s="15"/>
      <c r="N342" s="14"/>
      <c r="O342" s="14"/>
    </row>
    <row r="343" spans="1:15" x14ac:dyDescent="0.25">
      <c r="A343" s="12"/>
      <c r="B343" s="12"/>
      <c r="C343" s="13"/>
      <c r="D343" s="12"/>
      <c r="E343" s="12"/>
      <c r="F343" s="12"/>
      <c r="G343" s="12"/>
      <c r="H343" s="13"/>
      <c r="I343" s="12"/>
      <c r="J343" s="12"/>
      <c r="K343" s="12"/>
      <c r="L343" s="12"/>
      <c r="M343" s="12"/>
      <c r="N343" s="14"/>
      <c r="O343" s="14"/>
    </row>
    <row r="344" spans="1:15" x14ac:dyDescent="0.25">
      <c r="A344" s="15"/>
      <c r="B344" s="15"/>
      <c r="C344" s="16"/>
      <c r="D344" s="15"/>
      <c r="E344" s="15"/>
      <c r="F344" s="15"/>
      <c r="G344" s="15"/>
      <c r="H344" s="16"/>
      <c r="I344" s="15"/>
      <c r="J344" s="15"/>
      <c r="K344" s="15"/>
      <c r="L344" s="15"/>
      <c r="M344" s="15"/>
      <c r="N344" s="14"/>
      <c r="O344" s="14"/>
    </row>
    <row r="345" spans="1:15" x14ac:dyDescent="0.25">
      <c r="A345" s="12"/>
      <c r="B345" s="12"/>
      <c r="C345" s="13"/>
      <c r="D345" s="12"/>
      <c r="E345" s="12"/>
      <c r="F345" s="12"/>
      <c r="G345" s="12"/>
      <c r="H345" s="13"/>
      <c r="I345" s="12"/>
      <c r="J345" s="12"/>
      <c r="K345" s="12"/>
      <c r="L345" s="12"/>
      <c r="M345" s="12"/>
      <c r="N345" s="14"/>
      <c r="O345" s="14"/>
    </row>
    <row r="346" spans="1:15" x14ac:dyDescent="0.25">
      <c r="A346" s="15"/>
      <c r="B346" s="15"/>
      <c r="C346" s="16"/>
      <c r="D346" s="15"/>
      <c r="E346" s="15"/>
      <c r="F346" s="15"/>
      <c r="G346" s="15"/>
      <c r="H346" s="16"/>
      <c r="I346" s="15"/>
      <c r="J346" s="15"/>
      <c r="K346" s="15"/>
      <c r="L346" s="15"/>
      <c r="M346" s="15"/>
      <c r="N346" s="14"/>
      <c r="O346" s="14"/>
    </row>
    <row r="347" spans="1:15" x14ac:dyDescent="0.25">
      <c r="A347" s="12"/>
      <c r="B347" s="12"/>
      <c r="C347" s="13"/>
      <c r="D347" s="12"/>
      <c r="E347" s="12"/>
      <c r="F347" s="12"/>
      <c r="G347" s="12"/>
      <c r="H347" s="13"/>
      <c r="I347" s="12"/>
      <c r="J347" s="12"/>
      <c r="K347" s="12"/>
      <c r="L347" s="12"/>
      <c r="M347" s="12"/>
      <c r="N347" s="14"/>
      <c r="O347" s="14"/>
    </row>
    <row r="348" spans="1:15" x14ac:dyDescent="0.25">
      <c r="A348" s="15"/>
      <c r="B348" s="15"/>
      <c r="C348" s="16"/>
      <c r="D348" s="15"/>
      <c r="E348" s="15"/>
      <c r="F348" s="15"/>
      <c r="G348" s="15"/>
      <c r="H348" s="16"/>
      <c r="I348" s="15"/>
      <c r="J348" s="15"/>
      <c r="K348" s="15"/>
      <c r="L348" s="15"/>
      <c r="M348" s="15"/>
      <c r="N348" s="14"/>
      <c r="O348" s="14"/>
    </row>
    <row r="349" spans="1:15" x14ac:dyDescent="0.25">
      <c r="A349" s="12"/>
      <c r="B349" s="12"/>
      <c r="C349" s="13"/>
      <c r="D349" s="12"/>
      <c r="E349" s="12"/>
      <c r="F349" s="12"/>
      <c r="G349" s="12"/>
      <c r="H349" s="13"/>
      <c r="I349" s="12"/>
      <c r="J349" s="12"/>
      <c r="K349" s="12"/>
      <c r="L349" s="12"/>
      <c r="M349" s="12"/>
      <c r="N349" s="14"/>
      <c r="O349" s="14"/>
    </row>
    <row r="350" spans="1:15" x14ac:dyDescent="0.25">
      <c r="A350" s="15"/>
      <c r="B350" s="15"/>
      <c r="C350" s="16"/>
      <c r="D350" s="15"/>
      <c r="E350" s="15"/>
      <c r="F350" s="15"/>
      <c r="G350" s="15"/>
      <c r="H350" s="16"/>
      <c r="I350" s="15"/>
      <c r="J350" s="15"/>
      <c r="K350" s="15"/>
      <c r="L350" s="15"/>
      <c r="M350" s="15"/>
      <c r="N350" s="14"/>
      <c r="O350" s="14"/>
    </row>
    <row r="351" spans="1:15" x14ac:dyDescent="0.25">
      <c r="A351" s="12"/>
      <c r="B351" s="12"/>
      <c r="C351" s="13"/>
      <c r="D351" s="12"/>
      <c r="E351" s="12"/>
      <c r="F351" s="12"/>
      <c r="G351" s="12"/>
      <c r="H351" s="13"/>
      <c r="I351" s="12"/>
      <c r="J351" s="12"/>
      <c r="K351" s="12"/>
      <c r="L351" s="12"/>
      <c r="M351" s="12"/>
      <c r="N351" s="14"/>
      <c r="O351" s="14"/>
    </row>
    <row r="352" spans="1:15" x14ac:dyDescent="0.25">
      <c r="A352" s="15"/>
      <c r="B352" s="15"/>
      <c r="C352" s="16"/>
      <c r="D352" s="15"/>
      <c r="E352" s="15"/>
      <c r="F352" s="15"/>
      <c r="G352" s="15"/>
      <c r="H352" s="16"/>
      <c r="I352" s="15"/>
      <c r="J352" s="15"/>
      <c r="K352" s="15"/>
      <c r="L352" s="15"/>
      <c r="M352" s="15"/>
      <c r="N352" s="14"/>
      <c r="O352" s="14"/>
    </row>
    <row r="353" spans="1:15" x14ac:dyDescent="0.25">
      <c r="A353" s="12"/>
      <c r="B353" s="12"/>
      <c r="C353" s="13"/>
      <c r="D353" s="12"/>
      <c r="E353" s="12"/>
      <c r="F353" s="12"/>
      <c r="G353" s="12"/>
      <c r="H353" s="13"/>
      <c r="I353" s="12"/>
      <c r="J353" s="12"/>
      <c r="K353" s="12"/>
      <c r="L353" s="12"/>
      <c r="M353" s="12"/>
      <c r="N353" s="14"/>
      <c r="O353" s="14"/>
    </row>
    <row r="354" spans="1:15" x14ac:dyDescent="0.25">
      <c r="A354" s="15"/>
      <c r="B354" s="15"/>
      <c r="C354" s="16"/>
      <c r="D354" s="15"/>
      <c r="E354" s="15"/>
      <c r="F354" s="15"/>
      <c r="G354" s="15"/>
      <c r="H354" s="16"/>
      <c r="I354" s="15"/>
      <c r="J354" s="15"/>
      <c r="K354" s="15"/>
      <c r="L354" s="15"/>
      <c r="M354" s="15"/>
      <c r="N354" s="14"/>
      <c r="O354" s="14"/>
    </row>
    <row r="355" spans="1:15" x14ac:dyDescent="0.25">
      <c r="A355" s="12"/>
      <c r="B355" s="12"/>
      <c r="C355" s="13"/>
      <c r="D355" s="12"/>
      <c r="E355" s="12"/>
      <c r="F355" s="12"/>
      <c r="G355" s="12"/>
      <c r="H355" s="13"/>
      <c r="I355" s="12"/>
      <c r="J355" s="12"/>
      <c r="K355" s="12"/>
      <c r="L355" s="12"/>
      <c r="M355" s="12"/>
      <c r="N355" s="14"/>
      <c r="O355" s="14"/>
    </row>
    <row r="356" spans="1:15" x14ac:dyDescent="0.25">
      <c r="A356" s="15"/>
      <c r="B356" s="15"/>
      <c r="C356" s="16"/>
      <c r="D356" s="15"/>
      <c r="E356" s="15"/>
      <c r="F356" s="15"/>
      <c r="G356" s="15"/>
      <c r="H356" s="16"/>
      <c r="I356" s="15"/>
      <c r="J356" s="15"/>
      <c r="K356" s="15"/>
      <c r="L356" s="15"/>
      <c r="M356" s="15"/>
      <c r="N356" s="14"/>
      <c r="O356" s="14"/>
    </row>
    <row r="357" spans="1:15" x14ac:dyDescent="0.25">
      <c r="A357" s="12"/>
      <c r="B357" s="12"/>
      <c r="C357" s="13"/>
      <c r="D357" s="12"/>
      <c r="E357" s="12"/>
      <c r="F357" s="12"/>
      <c r="G357" s="12"/>
      <c r="H357" s="13"/>
      <c r="I357" s="12"/>
      <c r="J357" s="12"/>
      <c r="K357" s="12"/>
      <c r="L357" s="12"/>
      <c r="M357" s="12"/>
      <c r="N357" s="14"/>
      <c r="O357" s="14"/>
    </row>
    <row r="358" spans="1:15" x14ac:dyDescent="0.25">
      <c r="A358" s="15"/>
      <c r="B358" s="15"/>
      <c r="C358" s="16"/>
      <c r="D358" s="15"/>
      <c r="E358" s="15"/>
      <c r="F358" s="15"/>
      <c r="G358" s="15"/>
      <c r="H358" s="16"/>
      <c r="I358" s="15"/>
      <c r="J358" s="15"/>
      <c r="K358" s="15"/>
      <c r="L358" s="15"/>
      <c r="M358" s="15"/>
      <c r="N358" s="14"/>
      <c r="O358" s="14"/>
    </row>
    <row r="359" spans="1:15" x14ac:dyDescent="0.25">
      <c r="A359" s="12"/>
      <c r="B359" s="12"/>
      <c r="C359" s="13"/>
      <c r="D359" s="12"/>
      <c r="E359" s="12"/>
      <c r="F359" s="12"/>
      <c r="G359" s="12"/>
      <c r="H359" s="13"/>
      <c r="I359" s="12"/>
      <c r="J359" s="12"/>
      <c r="K359" s="12"/>
      <c r="L359" s="12"/>
      <c r="M359" s="12"/>
      <c r="N359" s="14"/>
      <c r="O359" s="14"/>
    </row>
    <row r="360" spans="1:15" x14ac:dyDescent="0.25">
      <c r="A360" s="15"/>
      <c r="B360" s="15"/>
      <c r="C360" s="16"/>
      <c r="D360" s="15"/>
      <c r="E360" s="15"/>
      <c r="F360" s="15"/>
      <c r="G360" s="15"/>
      <c r="H360" s="16"/>
      <c r="I360" s="15"/>
      <c r="J360" s="15"/>
      <c r="K360" s="15"/>
      <c r="L360" s="15"/>
      <c r="M360" s="15"/>
      <c r="N360" s="14"/>
      <c r="O360" s="14"/>
    </row>
    <row r="361" spans="1:15" x14ac:dyDescent="0.25">
      <c r="A361" s="12"/>
      <c r="B361" s="12"/>
      <c r="C361" s="13"/>
      <c r="D361" s="12"/>
      <c r="E361" s="12"/>
      <c r="F361" s="12"/>
      <c r="G361" s="12"/>
      <c r="H361" s="13"/>
      <c r="I361" s="12"/>
      <c r="J361" s="12"/>
      <c r="K361" s="12"/>
      <c r="L361" s="12"/>
      <c r="M361" s="12"/>
      <c r="N361" s="14"/>
      <c r="O361" s="14"/>
    </row>
    <row r="362" spans="1:15" x14ac:dyDescent="0.25">
      <c r="A362" s="15"/>
      <c r="B362" s="15"/>
      <c r="C362" s="16"/>
      <c r="D362" s="15"/>
      <c r="E362" s="15"/>
      <c r="F362" s="15"/>
      <c r="G362" s="15"/>
      <c r="H362" s="16"/>
      <c r="I362" s="15"/>
      <c r="J362" s="15"/>
      <c r="K362" s="15"/>
      <c r="L362" s="15"/>
      <c r="M362" s="15"/>
      <c r="N362" s="14"/>
      <c r="O362" s="14"/>
    </row>
    <row r="363" spans="1:15" x14ac:dyDescent="0.25">
      <c r="A363" s="12"/>
      <c r="B363" s="12"/>
      <c r="C363" s="13"/>
      <c r="D363" s="12"/>
      <c r="E363" s="12"/>
      <c r="F363" s="12"/>
      <c r="G363" s="12"/>
      <c r="H363" s="13"/>
      <c r="I363" s="12"/>
      <c r="J363" s="12"/>
      <c r="K363" s="12"/>
      <c r="L363" s="12"/>
      <c r="M363" s="12"/>
      <c r="N363" s="14"/>
      <c r="O363" s="14"/>
    </row>
    <row r="364" spans="1:15" x14ac:dyDescent="0.25">
      <c r="A364" s="15"/>
      <c r="B364" s="15"/>
      <c r="C364" s="16"/>
      <c r="D364" s="15"/>
      <c r="E364" s="15"/>
      <c r="F364" s="15"/>
      <c r="G364" s="15"/>
      <c r="H364" s="16"/>
      <c r="I364" s="15"/>
      <c r="J364" s="15"/>
      <c r="K364" s="15"/>
      <c r="L364" s="15"/>
      <c r="M364" s="15"/>
      <c r="N364" s="14"/>
      <c r="O364" s="14"/>
    </row>
    <row r="365" spans="1:15" x14ac:dyDescent="0.25">
      <c r="A365" s="12"/>
      <c r="B365" s="12"/>
      <c r="C365" s="13"/>
      <c r="D365" s="12"/>
      <c r="E365" s="12"/>
      <c r="F365" s="12"/>
      <c r="G365" s="12"/>
      <c r="H365" s="13"/>
      <c r="I365" s="12"/>
      <c r="J365" s="12"/>
      <c r="K365" s="12"/>
      <c r="L365" s="12"/>
      <c r="M365" s="12"/>
      <c r="N365" s="14"/>
      <c r="O365" s="14"/>
    </row>
    <row r="366" spans="1:15" x14ac:dyDescent="0.25">
      <c r="A366" s="15"/>
      <c r="B366" s="15"/>
      <c r="C366" s="16"/>
      <c r="D366" s="15"/>
      <c r="E366" s="15"/>
      <c r="F366" s="15"/>
      <c r="G366" s="15"/>
      <c r="H366" s="16"/>
      <c r="I366" s="15"/>
      <c r="J366" s="15"/>
      <c r="K366" s="15"/>
      <c r="L366" s="15"/>
      <c r="M366" s="15"/>
      <c r="N366" s="14"/>
      <c r="O366" s="14"/>
    </row>
    <row r="367" spans="1:15" x14ac:dyDescent="0.25">
      <c r="A367" s="12"/>
      <c r="B367" s="12"/>
      <c r="C367" s="13"/>
      <c r="D367" s="12"/>
      <c r="E367" s="12"/>
      <c r="F367" s="12"/>
      <c r="G367" s="12"/>
      <c r="H367" s="13"/>
      <c r="I367" s="12"/>
      <c r="J367" s="12"/>
      <c r="K367" s="12"/>
      <c r="L367" s="12"/>
      <c r="M367" s="12"/>
      <c r="N367" s="14"/>
      <c r="O367" s="14"/>
    </row>
    <row r="368" spans="1:15" x14ac:dyDescent="0.25">
      <c r="A368" s="15"/>
      <c r="B368" s="15"/>
      <c r="C368" s="16"/>
      <c r="D368" s="15"/>
      <c r="E368" s="15"/>
      <c r="F368" s="15"/>
      <c r="G368" s="15"/>
      <c r="H368" s="16"/>
      <c r="I368" s="15"/>
      <c r="J368" s="15"/>
      <c r="K368" s="15"/>
      <c r="L368" s="15"/>
      <c r="M368" s="15"/>
      <c r="N368" s="14"/>
      <c r="O368" s="14"/>
    </row>
    <row r="369" spans="1:15" x14ac:dyDescent="0.25">
      <c r="A369" s="12"/>
      <c r="B369" s="12"/>
      <c r="C369" s="13"/>
      <c r="D369" s="12"/>
      <c r="E369" s="12"/>
      <c r="F369" s="12"/>
      <c r="G369" s="12"/>
      <c r="H369" s="13"/>
      <c r="I369" s="12"/>
      <c r="J369" s="12"/>
      <c r="K369" s="12"/>
      <c r="L369" s="12"/>
      <c r="M369" s="12"/>
      <c r="N369" s="14"/>
      <c r="O369" s="14"/>
    </row>
    <row r="370" spans="1:15" x14ac:dyDescent="0.25">
      <c r="A370" s="15"/>
      <c r="B370" s="15"/>
      <c r="C370" s="16"/>
      <c r="D370" s="15"/>
      <c r="E370" s="15"/>
      <c r="F370" s="15"/>
      <c r="G370" s="15"/>
      <c r="H370" s="16"/>
      <c r="I370" s="15"/>
      <c r="J370" s="15"/>
      <c r="K370" s="15"/>
      <c r="L370" s="15"/>
      <c r="M370" s="15"/>
      <c r="N370" s="14"/>
      <c r="O370" s="14"/>
    </row>
    <row r="371" spans="1:15" x14ac:dyDescent="0.25">
      <c r="A371" s="12"/>
      <c r="B371" s="12"/>
      <c r="C371" s="13"/>
      <c r="D371" s="12"/>
      <c r="E371" s="12"/>
      <c r="F371" s="12"/>
      <c r="G371" s="12"/>
      <c r="H371" s="13"/>
      <c r="I371" s="12"/>
      <c r="J371" s="12"/>
      <c r="K371" s="12"/>
      <c r="L371" s="12"/>
      <c r="M371" s="12"/>
      <c r="N371" s="14"/>
      <c r="O371" s="14"/>
    </row>
    <row r="372" spans="1:15" x14ac:dyDescent="0.25">
      <c r="A372" s="15"/>
      <c r="B372" s="15"/>
      <c r="C372" s="16"/>
      <c r="D372" s="15"/>
      <c r="E372" s="15"/>
      <c r="F372" s="15"/>
      <c r="G372" s="15"/>
      <c r="H372" s="16"/>
      <c r="I372" s="15"/>
      <c r="J372" s="15"/>
      <c r="K372" s="15"/>
      <c r="L372" s="15"/>
      <c r="M372" s="15"/>
      <c r="N372" s="14"/>
      <c r="O372" s="14"/>
    </row>
    <row r="373" spans="1:15" x14ac:dyDescent="0.25">
      <c r="A373" s="12"/>
      <c r="B373" s="12"/>
      <c r="C373" s="13"/>
      <c r="D373" s="12"/>
      <c r="E373" s="12"/>
      <c r="F373" s="12"/>
      <c r="G373" s="12"/>
      <c r="H373" s="13"/>
      <c r="I373" s="12"/>
      <c r="J373" s="12"/>
      <c r="K373" s="12"/>
      <c r="L373" s="12"/>
      <c r="M373" s="12"/>
      <c r="N373" s="14"/>
      <c r="O373" s="14"/>
    </row>
    <row r="374" spans="1:15" x14ac:dyDescent="0.25">
      <c r="A374" s="15"/>
      <c r="B374" s="15"/>
      <c r="C374" s="16"/>
      <c r="D374" s="15"/>
      <c r="E374" s="15"/>
      <c r="F374" s="15"/>
      <c r="G374" s="15"/>
      <c r="H374" s="16"/>
      <c r="I374" s="15"/>
      <c r="J374" s="15"/>
      <c r="K374" s="15"/>
      <c r="L374" s="15"/>
      <c r="M374" s="15"/>
      <c r="N374" s="14"/>
      <c r="O374" s="14"/>
    </row>
    <row r="375" spans="1:15" x14ac:dyDescent="0.25">
      <c r="A375" s="12"/>
      <c r="B375" s="12"/>
      <c r="C375" s="13"/>
      <c r="D375" s="12"/>
      <c r="E375" s="12"/>
      <c r="F375" s="12"/>
      <c r="G375" s="12"/>
      <c r="H375" s="13"/>
      <c r="I375" s="12"/>
      <c r="J375" s="12"/>
      <c r="K375" s="12"/>
      <c r="L375" s="12"/>
      <c r="M375" s="12"/>
      <c r="N375" s="14"/>
      <c r="O375" s="14"/>
    </row>
    <row r="376" spans="1:15" x14ac:dyDescent="0.25">
      <c r="A376" s="15"/>
      <c r="B376" s="15"/>
      <c r="C376" s="16"/>
      <c r="D376" s="15"/>
      <c r="E376" s="15"/>
      <c r="F376" s="15"/>
      <c r="G376" s="15"/>
      <c r="H376" s="16"/>
      <c r="I376" s="15"/>
      <c r="J376" s="15"/>
      <c r="K376" s="15"/>
      <c r="L376" s="15"/>
      <c r="M376" s="15"/>
      <c r="N376" s="14"/>
      <c r="O376" s="14"/>
    </row>
    <row r="377" spans="1:15" x14ac:dyDescent="0.25">
      <c r="A377" s="12"/>
      <c r="B377" s="12"/>
      <c r="C377" s="13"/>
      <c r="D377" s="12"/>
      <c r="E377" s="12"/>
      <c r="F377" s="12"/>
      <c r="G377" s="12"/>
      <c r="H377" s="13"/>
      <c r="I377" s="12"/>
      <c r="J377" s="12"/>
      <c r="K377" s="12"/>
      <c r="L377" s="12"/>
      <c r="M377" s="12"/>
      <c r="N377" s="14"/>
      <c r="O377" s="14"/>
    </row>
    <row r="378" spans="1:15" x14ac:dyDescent="0.25">
      <c r="A378" s="15"/>
      <c r="B378" s="15"/>
      <c r="C378" s="16"/>
      <c r="D378" s="15"/>
      <c r="E378" s="15"/>
      <c r="F378" s="15"/>
      <c r="G378" s="15"/>
      <c r="H378" s="16"/>
      <c r="I378" s="15"/>
      <c r="J378" s="15"/>
      <c r="K378" s="15"/>
      <c r="L378" s="15"/>
      <c r="M378" s="15"/>
      <c r="N378" s="14"/>
      <c r="O378" s="14"/>
    </row>
    <row r="379" spans="1:15" x14ac:dyDescent="0.25">
      <c r="A379" s="12"/>
      <c r="B379" s="12"/>
      <c r="C379" s="13"/>
      <c r="D379" s="12"/>
      <c r="E379" s="12"/>
      <c r="F379" s="12"/>
      <c r="G379" s="12"/>
      <c r="H379" s="13"/>
      <c r="I379" s="12"/>
      <c r="J379" s="12"/>
      <c r="K379" s="12"/>
      <c r="L379" s="12"/>
      <c r="M379" s="12"/>
      <c r="N379" s="14"/>
      <c r="O379" s="14"/>
    </row>
    <row r="380" spans="1:15" x14ac:dyDescent="0.25">
      <c r="A380" s="15"/>
      <c r="B380" s="15"/>
      <c r="C380" s="16"/>
      <c r="D380" s="15"/>
      <c r="E380" s="15"/>
      <c r="F380" s="15"/>
      <c r="G380" s="15"/>
      <c r="H380" s="16"/>
      <c r="I380" s="15"/>
      <c r="J380" s="15"/>
      <c r="K380" s="15"/>
      <c r="L380" s="15"/>
      <c r="M380" s="15"/>
      <c r="N380" s="14"/>
      <c r="O380" s="14"/>
    </row>
    <row r="381" spans="1:15" x14ac:dyDescent="0.25">
      <c r="A381" s="12"/>
      <c r="B381" s="12"/>
      <c r="C381" s="13"/>
      <c r="D381" s="12"/>
      <c r="E381" s="12"/>
      <c r="F381" s="12"/>
      <c r="G381" s="12"/>
      <c r="H381" s="13"/>
      <c r="I381" s="12"/>
      <c r="J381" s="12"/>
      <c r="K381" s="12"/>
      <c r="L381" s="12"/>
      <c r="M381" s="12"/>
      <c r="N381" s="14"/>
      <c r="O381" s="14"/>
    </row>
    <row r="382" spans="1:15" x14ac:dyDescent="0.25">
      <c r="A382" s="15"/>
      <c r="B382" s="15"/>
      <c r="C382" s="16"/>
      <c r="D382" s="15"/>
      <c r="E382" s="15"/>
      <c r="F382" s="15"/>
      <c r="G382" s="15"/>
      <c r="H382" s="16"/>
      <c r="I382" s="15"/>
      <c r="J382" s="15"/>
      <c r="K382" s="15"/>
      <c r="L382" s="15"/>
      <c r="M382" s="15"/>
      <c r="N382" s="14"/>
      <c r="O382" s="14"/>
    </row>
    <row r="383" spans="1:15" x14ac:dyDescent="0.25">
      <c r="A383" s="12"/>
      <c r="B383" s="12"/>
      <c r="C383" s="13"/>
      <c r="D383" s="12"/>
      <c r="E383" s="12"/>
      <c r="F383" s="12"/>
      <c r="G383" s="12"/>
      <c r="H383" s="13"/>
      <c r="I383" s="12"/>
      <c r="J383" s="12"/>
      <c r="K383" s="12"/>
      <c r="L383" s="12"/>
      <c r="M383" s="12"/>
      <c r="N383" s="14"/>
      <c r="O383" s="14"/>
    </row>
    <row r="384" spans="1:15" x14ac:dyDescent="0.25">
      <c r="A384" s="15"/>
      <c r="B384" s="15"/>
      <c r="C384" s="16"/>
      <c r="D384" s="15"/>
      <c r="E384" s="15"/>
      <c r="F384" s="15"/>
      <c r="G384" s="15"/>
      <c r="H384" s="16"/>
      <c r="I384" s="15"/>
      <c r="J384" s="15"/>
      <c r="K384" s="15"/>
      <c r="L384" s="15"/>
      <c r="M384" s="15"/>
      <c r="N384" s="14"/>
      <c r="O384" s="14"/>
    </row>
    <row r="385" spans="1:15" x14ac:dyDescent="0.25">
      <c r="A385" s="12"/>
      <c r="B385" s="12"/>
      <c r="C385" s="13"/>
      <c r="D385" s="12"/>
      <c r="E385" s="12"/>
      <c r="F385" s="12"/>
      <c r="G385" s="12"/>
      <c r="H385" s="13"/>
      <c r="I385" s="12"/>
      <c r="J385" s="12"/>
      <c r="K385" s="12"/>
      <c r="L385" s="12"/>
      <c r="M385" s="12"/>
      <c r="N385" s="14"/>
      <c r="O385" s="14"/>
    </row>
    <row r="386" spans="1:15" x14ac:dyDescent="0.25">
      <c r="A386" s="15"/>
      <c r="B386" s="15"/>
      <c r="C386" s="16"/>
      <c r="D386" s="15"/>
      <c r="E386" s="15"/>
      <c r="F386" s="15"/>
      <c r="G386" s="15"/>
      <c r="H386" s="16"/>
      <c r="I386" s="15"/>
      <c r="J386" s="15"/>
      <c r="K386" s="15"/>
      <c r="L386" s="15"/>
      <c r="M386" s="15"/>
      <c r="N386" s="14"/>
      <c r="O386" s="14"/>
    </row>
    <row r="387" spans="1:15" x14ac:dyDescent="0.25">
      <c r="A387" s="12"/>
      <c r="B387" s="12"/>
      <c r="C387" s="13"/>
      <c r="D387" s="12"/>
      <c r="E387" s="12"/>
      <c r="F387" s="12"/>
      <c r="G387" s="12"/>
      <c r="H387" s="13"/>
      <c r="I387" s="12"/>
      <c r="J387" s="12"/>
      <c r="K387" s="12"/>
      <c r="L387" s="12"/>
      <c r="M387" s="12"/>
      <c r="N387" s="14"/>
      <c r="O387" s="14"/>
    </row>
    <row r="388" spans="1:15" x14ac:dyDescent="0.25">
      <c r="A388" s="15"/>
      <c r="B388" s="15"/>
      <c r="C388" s="16"/>
      <c r="D388" s="15"/>
      <c r="E388" s="15"/>
      <c r="F388" s="15"/>
      <c r="G388" s="15"/>
      <c r="H388" s="16"/>
      <c r="I388" s="15"/>
      <c r="J388" s="15"/>
      <c r="K388" s="15"/>
      <c r="L388" s="15"/>
      <c r="M388" s="15"/>
      <c r="N388" s="14"/>
      <c r="O388" s="14"/>
    </row>
    <row r="389" spans="1:15" x14ac:dyDescent="0.25">
      <c r="A389" s="12"/>
      <c r="B389" s="12"/>
      <c r="C389" s="13"/>
      <c r="D389" s="12"/>
      <c r="E389" s="12"/>
      <c r="F389" s="12"/>
      <c r="G389" s="12"/>
      <c r="H389" s="13"/>
      <c r="I389" s="12"/>
      <c r="J389" s="12"/>
      <c r="K389" s="12"/>
      <c r="L389" s="12"/>
      <c r="M389" s="12"/>
      <c r="N389" s="14"/>
      <c r="O389" s="14"/>
    </row>
    <row r="390" spans="1:15" x14ac:dyDescent="0.25">
      <c r="A390" s="15"/>
      <c r="B390" s="15"/>
      <c r="C390" s="16"/>
      <c r="D390" s="15"/>
      <c r="E390" s="15"/>
      <c r="F390" s="15"/>
      <c r="G390" s="15"/>
      <c r="H390" s="16"/>
      <c r="I390" s="15"/>
      <c r="J390" s="15"/>
      <c r="K390" s="15"/>
      <c r="L390" s="15"/>
      <c r="M390" s="15"/>
      <c r="N390" s="14"/>
      <c r="O390" s="14"/>
    </row>
    <row r="391" spans="1:15" x14ac:dyDescent="0.25">
      <c r="A391" s="12"/>
      <c r="B391" s="12"/>
      <c r="C391" s="13"/>
      <c r="D391" s="12"/>
      <c r="E391" s="12"/>
      <c r="F391" s="12"/>
      <c r="G391" s="12"/>
      <c r="H391" s="13"/>
      <c r="I391" s="12"/>
      <c r="J391" s="12"/>
      <c r="K391" s="12"/>
      <c r="L391" s="12"/>
      <c r="M391" s="12"/>
      <c r="N391" s="14"/>
      <c r="O391" s="14"/>
    </row>
    <row r="392" spans="1:15" x14ac:dyDescent="0.25">
      <c r="A392" s="15"/>
      <c r="B392" s="15"/>
      <c r="C392" s="16"/>
      <c r="D392" s="15"/>
      <c r="E392" s="15"/>
      <c r="F392" s="15"/>
      <c r="G392" s="15"/>
      <c r="H392" s="16"/>
      <c r="I392" s="15"/>
      <c r="J392" s="15"/>
      <c r="K392" s="15"/>
      <c r="L392" s="15"/>
      <c r="M392" s="15"/>
      <c r="N392" s="14"/>
      <c r="O392" s="14"/>
    </row>
    <row r="393" spans="1:15" x14ac:dyDescent="0.25">
      <c r="A393" s="12"/>
      <c r="B393" s="12"/>
      <c r="C393" s="13"/>
      <c r="D393" s="12"/>
      <c r="E393" s="12"/>
      <c r="F393" s="12"/>
      <c r="G393" s="12"/>
      <c r="H393" s="13"/>
      <c r="I393" s="12"/>
      <c r="J393" s="12"/>
      <c r="K393" s="12"/>
      <c r="L393" s="12"/>
      <c r="M393" s="12"/>
      <c r="N393" s="14"/>
      <c r="O393" s="14"/>
    </row>
    <row r="394" spans="1:15" x14ac:dyDescent="0.25">
      <c r="A394" s="15"/>
      <c r="B394" s="15"/>
      <c r="C394" s="16"/>
      <c r="D394" s="15"/>
      <c r="E394" s="15"/>
      <c r="F394" s="15"/>
      <c r="G394" s="15"/>
      <c r="H394" s="16"/>
      <c r="I394" s="15"/>
      <c r="J394" s="15"/>
      <c r="K394" s="15"/>
      <c r="L394" s="15"/>
      <c r="M394" s="15"/>
      <c r="N394" s="14"/>
      <c r="O394" s="14"/>
    </row>
    <row r="395" spans="1:15" x14ac:dyDescent="0.25">
      <c r="A395" s="12"/>
      <c r="B395" s="12"/>
      <c r="C395" s="13"/>
      <c r="D395" s="12"/>
      <c r="E395" s="12"/>
      <c r="F395" s="12"/>
      <c r="G395" s="12"/>
      <c r="H395" s="13"/>
      <c r="I395" s="12"/>
      <c r="J395" s="12"/>
      <c r="K395" s="12"/>
      <c r="L395" s="12"/>
      <c r="M395" s="12"/>
      <c r="N395" s="14"/>
      <c r="O395" s="14"/>
    </row>
    <row r="396" spans="1:15" x14ac:dyDescent="0.25">
      <c r="A396" s="15"/>
      <c r="B396" s="15"/>
      <c r="C396" s="16"/>
      <c r="D396" s="15"/>
      <c r="E396" s="15"/>
      <c r="F396" s="15"/>
      <c r="G396" s="15"/>
      <c r="H396" s="16"/>
      <c r="I396" s="15"/>
      <c r="J396" s="15"/>
      <c r="K396" s="15"/>
      <c r="L396" s="15"/>
      <c r="M396" s="15"/>
      <c r="N396" s="14"/>
      <c r="O396" s="14"/>
    </row>
    <row r="397" spans="1:15" x14ac:dyDescent="0.25">
      <c r="A397" s="12"/>
      <c r="B397" s="12"/>
      <c r="C397" s="13"/>
      <c r="D397" s="12"/>
      <c r="E397" s="12"/>
      <c r="F397" s="12"/>
      <c r="G397" s="12"/>
      <c r="H397" s="13"/>
      <c r="I397" s="12"/>
      <c r="J397" s="12"/>
      <c r="K397" s="12"/>
      <c r="L397" s="12"/>
      <c r="M397" s="12"/>
      <c r="N397" s="14"/>
      <c r="O397" s="14"/>
    </row>
    <row r="398" spans="1:15" x14ac:dyDescent="0.25">
      <c r="A398" s="15"/>
      <c r="B398" s="15"/>
      <c r="C398" s="16"/>
      <c r="D398" s="15"/>
      <c r="E398" s="15"/>
      <c r="F398" s="15"/>
      <c r="G398" s="15"/>
      <c r="H398" s="16"/>
      <c r="I398" s="15"/>
      <c r="J398" s="15"/>
      <c r="K398" s="15"/>
      <c r="L398" s="15"/>
      <c r="M398" s="15"/>
      <c r="N398" s="14"/>
      <c r="O398" s="14"/>
    </row>
    <row r="399" spans="1:15" x14ac:dyDescent="0.25">
      <c r="A399" s="12"/>
      <c r="B399" s="12"/>
      <c r="C399" s="13"/>
      <c r="D399" s="12"/>
      <c r="E399" s="12"/>
      <c r="F399" s="12"/>
      <c r="G399" s="12"/>
      <c r="H399" s="13"/>
      <c r="I399" s="12"/>
      <c r="J399" s="12"/>
      <c r="K399" s="12"/>
      <c r="L399" s="12"/>
      <c r="M399" s="12"/>
      <c r="N399" s="14"/>
      <c r="O399" s="14"/>
    </row>
    <row r="400" spans="1:15" x14ac:dyDescent="0.25">
      <c r="A400" s="15"/>
      <c r="B400" s="15"/>
      <c r="C400" s="16"/>
      <c r="D400" s="15"/>
      <c r="E400" s="15"/>
      <c r="F400" s="15"/>
      <c r="G400" s="15"/>
      <c r="H400" s="16"/>
      <c r="I400" s="15"/>
      <c r="J400" s="15"/>
      <c r="K400" s="15"/>
      <c r="L400" s="15"/>
      <c r="M400" s="15"/>
      <c r="N400" s="14"/>
      <c r="O400" s="14"/>
    </row>
    <row r="401" spans="1:15" x14ac:dyDescent="0.25">
      <c r="A401" s="12"/>
      <c r="B401" s="12"/>
      <c r="C401" s="13"/>
      <c r="D401" s="12"/>
      <c r="E401" s="12"/>
      <c r="F401" s="12"/>
      <c r="G401" s="12"/>
      <c r="H401" s="13"/>
      <c r="I401" s="12"/>
      <c r="J401" s="12"/>
      <c r="K401" s="12"/>
      <c r="L401" s="12"/>
      <c r="M401" s="12"/>
      <c r="N401" s="14"/>
      <c r="O401" s="14"/>
    </row>
    <row r="402" spans="1:15" x14ac:dyDescent="0.25">
      <c r="A402" s="15"/>
      <c r="B402" s="15"/>
      <c r="C402" s="16"/>
      <c r="D402" s="15"/>
      <c r="E402" s="15"/>
      <c r="F402" s="15"/>
      <c r="G402" s="15"/>
      <c r="H402" s="16"/>
      <c r="I402" s="15"/>
      <c r="J402" s="15"/>
      <c r="K402" s="15"/>
      <c r="L402" s="15"/>
      <c r="M402" s="15"/>
      <c r="N402" s="14"/>
      <c r="O402" s="14"/>
    </row>
    <row r="403" spans="1:15" x14ac:dyDescent="0.25">
      <c r="A403" s="12"/>
      <c r="B403" s="12"/>
      <c r="C403" s="13"/>
      <c r="D403" s="12"/>
      <c r="E403" s="12"/>
      <c r="F403" s="12"/>
      <c r="G403" s="12"/>
      <c r="H403" s="13"/>
      <c r="I403" s="12"/>
      <c r="J403" s="12"/>
      <c r="K403" s="12"/>
      <c r="L403" s="12"/>
      <c r="M403" s="12"/>
      <c r="N403" s="14"/>
      <c r="O403" s="14"/>
    </row>
    <row r="404" spans="1:15" x14ac:dyDescent="0.25">
      <c r="A404" s="15"/>
      <c r="B404" s="15"/>
      <c r="C404" s="16"/>
      <c r="D404" s="15"/>
      <c r="E404" s="15"/>
      <c r="F404" s="15"/>
      <c r="G404" s="15"/>
      <c r="H404" s="16"/>
      <c r="I404" s="15"/>
      <c r="J404" s="15"/>
      <c r="K404" s="15"/>
      <c r="L404" s="15"/>
      <c r="M404" s="15"/>
      <c r="N404" s="14"/>
      <c r="O404" s="14"/>
    </row>
    <row r="405" spans="1:15" x14ac:dyDescent="0.25">
      <c r="A405" s="12"/>
      <c r="B405" s="12"/>
      <c r="C405" s="13"/>
      <c r="D405" s="12"/>
      <c r="E405" s="12"/>
      <c r="F405" s="12"/>
      <c r="G405" s="12"/>
      <c r="H405" s="13"/>
      <c r="I405" s="12"/>
      <c r="J405" s="12"/>
      <c r="K405" s="12"/>
      <c r="L405" s="12"/>
      <c r="M405" s="12"/>
      <c r="N405" s="14"/>
      <c r="O405" s="14"/>
    </row>
    <row r="406" spans="1:15" x14ac:dyDescent="0.25">
      <c r="A406" s="15"/>
      <c r="B406" s="15"/>
      <c r="C406" s="16"/>
      <c r="D406" s="15"/>
      <c r="E406" s="15"/>
      <c r="F406" s="15"/>
      <c r="G406" s="15"/>
      <c r="H406" s="16"/>
      <c r="I406" s="15"/>
      <c r="J406" s="15"/>
      <c r="K406" s="15"/>
      <c r="L406" s="15"/>
      <c r="M406" s="15"/>
      <c r="N406" s="14"/>
      <c r="O406" s="14"/>
    </row>
    <row r="407" spans="1:15" x14ac:dyDescent="0.25">
      <c r="A407" s="12"/>
      <c r="B407" s="12"/>
      <c r="C407" s="13"/>
      <c r="D407" s="12"/>
      <c r="E407" s="12"/>
      <c r="F407" s="12"/>
      <c r="G407" s="12"/>
      <c r="H407" s="13"/>
      <c r="I407" s="12"/>
      <c r="J407" s="12"/>
      <c r="K407" s="12"/>
      <c r="L407" s="12"/>
      <c r="M407" s="12"/>
      <c r="N407" s="14"/>
      <c r="O407" s="14"/>
    </row>
    <row r="408" spans="1:15" x14ac:dyDescent="0.25">
      <c r="A408" s="15"/>
      <c r="B408" s="15"/>
      <c r="C408" s="16"/>
      <c r="D408" s="15"/>
      <c r="E408" s="15"/>
      <c r="F408" s="15"/>
      <c r="G408" s="15"/>
      <c r="H408" s="16"/>
      <c r="I408" s="15"/>
      <c r="J408" s="15"/>
      <c r="K408" s="15"/>
      <c r="L408" s="15"/>
      <c r="M408" s="15"/>
      <c r="N408" s="14"/>
      <c r="O408" s="14"/>
    </row>
    <row r="409" spans="1:15" x14ac:dyDescent="0.25">
      <c r="A409" s="12"/>
      <c r="B409" s="12"/>
      <c r="C409" s="13"/>
      <c r="D409" s="12"/>
      <c r="E409" s="12"/>
      <c r="F409" s="12"/>
      <c r="G409" s="12"/>
      <c r="H409" s="13"/>
      <c r="I409" s="12"/>
      <c r="J409" s="12"/>
      <c r="K409" s="12"/>
      <c r="L409" s="12"/>
      <c r="M409" s="12"/>
      <c r="N409" s="14"/>
      <c r="O409" s="14"/>
    </row>
    <row r="410" spans="1:15" x14ac:dyDescent="0.25">
      <c r="A410" s="15"/>
      <c r="B410" s="15"/>
      <c r="C410" s="16"/>
      <c r="D410" s="15"/>
      <c r="E410" s="15"/>
      <c r="F410" s="15"/>
      <c r="G410" s="15"/>
      <c r="H410" s="16"/>
      <c r="I410" s="15"/>
      <c r="J410" s="15"/>
      <c r="K410" s="15"/>
      <c r="L410" s="15"/>
      <c r="M410" s="15"/>
      <c r="N410" s="14"/>
      <c r="O410" s="14"/>
    </row>
    <row r="411" spans="1:15" x14ac:dyDescent="0.25">
      <c r="A411" s="12"/>
      <c r="B411" s="12"/>
      <c r="C411" s="13"/>
      <c r="D411" s="12"/>
      <c r="E411" s="12"/>
      <c r="F411" s="12"/>
      <c r="G411" s="12"/>
      <c r="H411" s="13"/>
      <c r="I411" s="12"/>
      <c r="J411" s="12"/>
      <c r="K411" s="12"/>
      <c r="L411" s="12"/>
      <c r="M411" s="12"/>
      <c r="N411" s="14"/>
      <c r="O411" s="14"/>
    </row>
    <row r="412" spans="1:15" x14ac:dyDescent="0.25">
      <c r="A412" s="15"/>
      <c r="B412" s="15"/>
      <c r="C412" s="16"/>
      <c r="D412" s="15"/>
      <c r="E412" s="15"/>
      <c r="F412" s="15"/>
      <c r="G412" s="15"/>
      <c r="H412" s="16"/>
      <c r="I412" s="15"/>
      <c r="J412" s="15"/>
      <c r="K412" s="15"/>
      <c r="L412" s="15"/>
      <c r="M412" s="15"/>
      <c r="N412" s="14"/>
      <c r="O412" s="14"/>
    </row>
    <row r="413" spans="1:15" x14ac:dyDescent="0.25">
      <c r="A413" s="12"/>
      <c r="B413" s="12"/>
      <c r="C413" s="13"/>
      <c r="D413" s="12"/>
      <c r="E413" s="12"/>
      <c r="F413" s="12"/>
      <c r="G413" s="12"/>
      <c r="H413" s="13"/>
      <c r="I413" s="12"/>
      <c r="J413" s="12"/>
      <c r="K413" s="12"/>
      <c r="L413" s="12"/>
      <c r="M413" s="12"/>
      <c r="N413" s="14"/>
      <c r="O413" s="14"/>
    </row>
    <row r="414" spans="1:15" x14ac:dyDescent="0.25">
      <c r="A414" s="15"/>
      <c r="B414" s="15"/>
      <c r="C414" s="16"/>
      <c r="D414" s="15"/>
      <c r="E414" s="15"/>
      <c r="F414" s="15"/>
      <c r="G414" s="15"/>
      <c r="H414" s="16"/>
      <c r="I414" s="15"/>
      <c r="J414" s="15"/>
      <c r="K414" s="15"/>
      <c r="L414" s="15"/>
      <c r="M414" s="15"/>
      <c r="N414" s="14"/>
      <c r="O414" s="14"/>
    </row>
    <row r="415" spans="1:15" x14ac:dyDescent="0.25">
      <c r="A415" s="12"/>
      <c r="B415" s="12"/>
      <c r="C415" s="13"/>
      <c r="D415" s="12"/>
      <c r="E415" s="12"/>
      <c r="F415" s="12"/>
      <c r="G415" s="12"/>
      <c r="H415" s="13"/>
      <c r="I415" s="12"/>
      <c r="J415" s="12"/>
      <c r="K415" s="12"/>
      <c r="L415" s="12"/>
      <c r="M415" s="12"/>
      <c r="N415" s="14"/>
      <c r="O415" s="14"/>
    </row>
    <row r="416" spans="1:15" x14ac:dyDescent="0.25">
      <c r="A416" s="15"/>
      <c r="B416" s="15"/>
      <c r="C416" s="16"/>
      <c r="D416" s="15"/>
      <c r="E416" s="15"/>
      <c r="F416" s="15"/>
      <c r="G416" s="15"/>
      <c r="H416" s="16"/>
      <c r="I416" s="15"/>
      <c r="J416" s="15"/>
      <c r="K416" s="15"/>
      <c r="L416" s="15"/>
      <c r="M416" s="15"/>
      <c r="N416" s="14"/>
      <c r="O416" s="14"/>
    </row>
    <row r="417" spans="1:15" x14ac:dyDescent="0.25">
      <c r="A417" s="12"/>
      <c r="B417" s="12"/>
      <c r="C417" s="13"/>
      <c r="D417" s="12"/>
      <c r="E417" s="12"/>
      <c r="F417" s="12"/>
      <c r="G417" s="12"/>
      <c r="H417" s="13"/>
      <c r="I417" s="12"/>
      <c r="J417" s="12"/>
      <c r="K417" s="12"/>
      <c r="L417" s="12"/>
      <c r="M417" s="12"/>
      <c r="N417" s="14"/>
      <c r="O417" s="14"/>
    </row>
    <row r="418" spans="1:15" x14ac:dyDescent="0.25">
      <c r="A418" s="15"/>
      <c r="B418" s="15"/>
      <c r="C418" s="16"/>
      <c r="D418" s="15"/>
      <c r="E418" s="15"/>
      <c r="F418" s="15"/>
      <c r="G418" s="15"/>
      <c r="H418" s="16"/>
      <c r="I418" s="15"/>
      <c r="J418" s="15"/>
      <c r="K418" s="15"/>
      <c r="L418" s="15"/>
      <c r="M418" s="15"/>
      <c r="N418" s="14"/>
      <c r="O418" s="14"/>
    </row>
    <row r="419" spans="1:15" x14ac:dyDescent="0.25">
      <c r="A419" s="12"/>
      <c r="B419" s="12"/>
      <c r="C419" s="13"/>
      <c r="D419" s="12"/>
      <c r="E419" s="12"/>
      <c r="F419" s="12"/>
      <c r="G419" s="12"/>
      <c r="H419" s="13"/>
      <c r="I419" s="12"/>
      <c r="J419" s="12"/>
      <c r="K419" s="12"/>
      <c r="L419" s="12"/>
      <c r="M419" s="12"/>
      <c r="N419" s="14"/>
      <c r="O419" s="14"/>
    </row>
    <row r="420" spans="1:15" x14ac:dyDescent="0.25">
      <c r="A420" s="15"/>
      <c r="B420" s="15"/>
      <c r="C420" s="16"/>
      <c r="D420" s="15"/>
      <c r="E420" s="15"/>
      <c r="F420" s="15"/>
      <c r="G420" s="15"/>
      <c r="H420" s="16"/>
      <c r="I420" s="15"/>
      <c r="J420" s="15"/>
      <c r="K420" s="15"/>
      <c r="L420" s="15"/>
      <c r="M420" s="15"/>
      <c r="N420" s="14"/>
      <c r="O420" s="14"/>
    </row>
    <row r="421" spans="1:15" x14ac:dyDescent="0.25">
      <c r="A421" s="12"/>
      <c r="B421" s="12"/>
      <c r="C421" s="13"/>
      <c r="D421" s="12"/>
      <c r="E421" s="12"/>
      <c r="F421" s="12"/>
      <c r="G421" s="12"/>
      <c r="H421" s="13"/>
      <c r="I421" s="12"/>
      <c r="J421" s="12"/>
      <c r="K421" s="12"/>
      <c r="L421" s="12"/>
      <c r="M421" s="12"/>
      <c r="N421" s="14"/>
      <c r="O421" s="14"/>
    </row>
    <row r="422" spans="1:15" x14ac:dyDescent="0.25">
      <c r="A422" s="15"/>
      <c r="B422" s="15"/>
      <c r="C422" s="16"/>
      <c r="D422" s="15"/>
      <c r="E422" s="15"/>
      <c r="F422" s="15"/>
      <c r="G422" s="15"/>
      <c r="H422" s="16"/>
      <c r="I422" s="15"/>
      <c r="J422" s="15"/>
      <c r="K422" s="15"/>
      <c r="L422" s="15"/>
      <c r="M422" s="15"/>
      <c r="N422" s="14"/>
      <c r="O422" s="14"/>
    </row>
    <row r="423" spans="1:15" x14ac:dyDescent="0.25">
      <c r="A423" s="12"/>
      <c r="B423" s="12"/>
      <c r="C423" s="13"/>
      <c r="D423" s="12"/>
      <c r="E423" s="12"/>
      <c r="F423" s="12"/>
      <c r="G423" s="12"/>
      <c r="H423" s="13"/>
      <c r="I423" s="12"/>
      <c r="J423" s="12"/>
      <c r="K423" s="12"/>
      <c r="L423" s="12"/>
      <c r="M423" s="12"/>
      <c r="N423" s="14"/>
      <c r="O423" s="14"/>
    </row>
    <row r="424" spans="1:15" x14ac:dyDescent="0.25">
      <c r="A424" s="15"/>
      <c r="B424" s="15"/>
      <c r="C424" s="16"/>
      <c r="D424" s="15"/>
      <c r="E424" s="15"/>
      <c r="F424" s="15"/>
      <c r="G424" s="15"/>
      <c r="H424" s="16"/>
      <c r="I424" s="15"/>
      <c r="J424" s="15"/>
      <c r="K424" s="15"/>
      <c r="L424" s="15"/>
      <c r="M424" s="15"/>
      <c r="N424" s="14"/>
      <c r="O424" s="14"/>
    </row>
    <row r="425" spans="1:15" x14ac:dyDescent="0.25">
      <c r="A425" s="12"/>
      <c r="B425" s="12"/>
      <c r="C425" s="13"/>
      <c r="D425" s="12"/>
      <c r="E425" s="12"/>
      <c r="F425" s="12"/>
      <c r="G425" s="12"/>
      <c r="H425" s="13"/>
      <c r="I425" s="12"/>
      <c r="J425" s="12"/>
      <c r="K425" s="12"/>
      <c r="L425" s="12"/>
      <c r="M425" s="12"/>
      <c r="N425" s="14"/>
      <c r="O425" s="14"/>
    </row>
    <row r="426" spans="1:15" x14ac:dyDescent="0.25">
      <c r="A426" s="15"/>
      <c r="B426" s="15"/>
      <c r="C426" s="16"/>
      <c r="D426" s="15"/>
      <c r="E426" s="15"/>
      <c r="F426" s="15"/>
      <c r="G426" s="15"/>
      <c r="H426" s="16"/>
      <c r="I426" s="15"/>
      <c r="J426" s="15"/>
      <c r="K426" s="15"/>
      <c r="L426" s="15"/>
      <c r="M426" s="15"/>
      <c r="N426" s="14"/>
      <c r="O426" s="14"/>
    </row>
    <row r="427" spans="1:15" x14ac:dyDescent="0.25">
      <c r="A427" s="12"/>
      <c r="B427" s="12"/>
      <c r="C427" s="13"/>
      <c r="D427" s="12"/>
      <c r="E427" s="12"/>
      <c r="F427" s="12"/>
      <c r="G427" s="12"/>
      <c r="H427" s="13"/>
      <c r="I427" s="12"/>
      <c r="J427" s="12"/>
      <c r="K427" s="12"/>
      <c r="L427" s="12"/>
      <c r="M427" s="12"/>
      <c r="N427" s="14"/>
      <c r="O427" s="14"/>
    </row>
    <row r="428" spans="1:15" x14ac:dyDescent="0.25">
      <c r="A428" s="15"/>
      <c r="B428" s="15"/>
      <c r="C428" s="16"/>
      <c r="D428" s="15"/>
      <c r="E428" s="15"/>
      <c r="F428" s="15"/>
      <c r="G428" s="15"/>
      <c r="H428" s="16"/>
      <c r="I428" s="15"/>
      <c r="J428" s="15"/>
      <c r="K428" s="15"/>
      <c r="L428" s="15"/>
      <c r="M428" s="15"/>
      <c r="N428" s="14"/>
      <c r="O428" s="14"/>
    </row>
    <row r="429" spans="1:15" x14ac:dyDescent="0.25">
      <c r="A429" s="12"/>
      <c r="B429" s="12"/>
      <c r="C429" s="13"/>
      <c r="D429" s="12"/>
      <c r="E429" s="12"/>
      <c r="F429" s="12"/>
      <c r="G429" s="12"/>
      <c r="H429" s="13"/>
      <c r="I429" s="12"/>
      <c r="J429" s="12"/>
      <c r="K429" s="12"/>
      <c r="L429" s="12"/>
      <c r="M429" s="12"/>
      <c r="N429" s="14"/>
      <c r="O429" s="14"/>
    </row>
    <row r="430" spans="1:15" x14ac:dyDescent="0.25">
      <c r="A430" s="15"/>
      <c r="B430" s="15"/>
      <c r="C430" s="16"/>
      <c r="D430" s="15"/>
      <c r="E430" s="15"/>
      <c r="F430" s="15"/>
      <c r="G430" s="15"/>
      <c r="H430" s="16"/>
      <c r="I430" s="15"/>
      <c r="J430" s="15"/>
      <c r="K430" s="15"/>
      <c r="L430" s="15"/>
      <c r="M430" s="15"/>
      <c r="N430" s="14"/>
      <c r="O430" s="14"/>
    </row>
    <row r="431" spans="1:15" x14ac:dyDescent="0.25">
      <c r="A431" s="12"/>
      <c r="B431" s="12"/>
      <c r="C431" s="13"/>
      <c r="D431" s="12"/>
      <c r="E431" s="12"/>
      <c r="F431" s="12"/>
      <c r="G431" s="12"/>
      <c r="H431" s="13"/>
      <c r="I431" s="12"/>
      <c r="J431" s="12"/>
      <c r="K431" s="12"/>
      <c r="L431" s="12"/>
      <c r="M431" s="12"/>
      <c r="N431" s="14"/>
      <c r="O431" s="14"/>
    </row>
    <row r="432" spans="1:15" x14ac:dyDescent="0.25">
      <c r="A432" s="15"/>
      <c r="B432" s="15"/>
      <c r="C432" s="16"/>
      <c r="D432" s="15"/>
      <c r="E432" s="15"/>
      <c r="F432" s="15"/>
      <c r="G432" s="15"/>
      <c r="H432" s="16"/>
      <c r="I432" s="15"/>
      <c r="J432" s="15"/>
      <c r="K432" s="15"/>
      <c r="L432" s="15"/>
      <c r="M432" s="15"/>
      <c r="N432" s="14"/>
      <c r="O432" s="14"/>
    </row>
    <row r="433" spans="1:15" x14ac:dyDescent="0.25">
      <c r="A433" s="12"/>
      <c r="B433" s="12"/>
      <c r="C433" s="13"/>
      <c r="D433" s="12"/>
      <c r="E433" s="12"/>
      <c r="F433" s="12"/>
      <c r="G433" s="12"/>
      <c r="H433" s="13"/>
      <c r="I433" s="12"/>
      <c r="J433" s="12"/>
      <c r="K433" s="12"/>
      <c r="L433" s="12"/>
      <c r="M433" s="12"/>
      <c r="N433" s="14"/>
      <c r="O433" s="14"/>
    </row>
    <row r="434" spans="1:15" x14ac:dyDescent="0.25">
      <c r="A434" s="15"/>
      <c r="B434" s="15"/>
      <c r="C434" s="16"/>
      <c r="D434" s="15"/>
      <c r="E434" s="15"/>
      <c r="F434" s="15"/>
      <c r="G434" s="15"/>
      <c r="H434" s="16"/>
      <c r="I434" s="15"/>
      <c r="J434" s="15"/>
      <c r="K434" s="15"/>
      <c r="L434" s="15"/>
      <c r="M434" s="15"/>
      <c r="N434" s="14"/>
      <c r="O434" s="14"/>
    </row>
    <row r="435" spans="1:15" x14ac:dyDescent="0.25">
      <c r="A435" s="12"/>
      <c r="B435" s="12"/>
      <c r="C435" s="13"/>
      <c r="D435" s="12"/>
      <c r="E435" s="12"/>
      <c r="F435" s="12"/>
      <c r="G435" s="12"/>
      <c r="H435" s="13"/>
      <c r="I435" s="12"/>
      <c r="J435" s="12"/>
      <c r="K435" s="12"/>
      <c r="L435" s="12"/>
      <c r="M435" s="12"/>
      <c r="N435" s="14"/>
      <c r="O435" s="14"/>
    </row>
    <row r="436" spans="1:15" x14ac:dyDescent="0.25">
      <c r="A436" s="15"/>
      <c r="B436" s="15"/>
      <c r="C436" s="16"/>
      <c r="D436" s="15"/>
      <c r="E436" s="15"/>
      <c r="F436" s="15"/>
      <c r="G436" s="15"/>
      <c r="H436" s="16"/>
      <c r="I436" s="15"/>
      <c r="J436" s="15"/>
      <c r="K436" s="15"/>
      <c r="L436" s="15"/>
      <c r="M436" s="15"/>
      <c r="N436" s="14"/>
      <c r="O436" s="14"/>
    </row>
    <row r="437" spans="1:15" x14ac:dyDescent="0.25">
      <c r="A437" s="12"/>
      <c r="B437" s="12"/>
      <c r="C437" s="13"/>
      <c r="D437" s="12"/>
      <c r="E437" s="12"/>
      <c r="F437" s="12"/>
      <c r="G437" s="12"/>
      <c r="H437" s="13"/>
      <c r="I437" s="12"/>
      <c r="J437" s="12"/>
      <c r="K437" s="12"/>
      <c r="L437" s="12"/>
      <c r="M437" s="12"/>
      <c r="N437" s="14"/>
      <c r="O437" s="14"/>
    </row>
    <row r="438" spans="1:15" x14ac:dyDescent="0.25">
      <c r="A438" s="15"/>
      <c r="B438" s="15"/>
      <c r="C438" s="16"/>
      <c r="D438" s="15"/>
      <c r="E438" s="15"/>
      <c r="F438" s="15"/>
      <c r="G438" s="15"/>
      <c r="H438" s="16"/>
      <c r="I438" s="15"/>
      <c r="J438" s="15"/>
      <c r="K438" s="15"/>
      <c r="L438" s="15"/>
      <c r="M438" s="15"/>
      <c r="N438" s="14"/>
      <c r="O438" s="14"/>
    </row>
    <row r="439" spans="1:15" x14ac:dyDescent="0.25">
      <c r="A439" s="12"/>
      <c r="B439" s="12"/>
      <c r="C439" s="13"/>
      <c r="D439" s="12"/>
      <c r="E439" s="12"/>
      <c r="F439" s="12"/>
      <c r="G439" s="12"/>
      <c r="H439" s="13"/>
      <c r="I439" s="12"/>
      <c r="J439" s="12"/>
      <c r="K439" s="12"/>
      <c r="L439" s="12"/>
      <c r="M439" s="12"/>
      <c r="N439" s="14"/>
      <c r="O439" s="14"/>
    </row>
    <row r="440" spans="1:15" x14ac:dyDescent="0.25">
      <c r="A440" s="15"/>
      <c r="B440" s="15"/>
      <c r="C440" s="16"/>
      <c r="D440" s="15"/>
      <c r="E440" s="15"/>
      <c r="F440" s="15"/>
      <c r="G440" s="15"/>
      <c r="H440" s="16"/>
      <c r="I440" s="15"/>
      <c r="J440" s="15"/>
      <c r="K440" s="15"/>
      <c r="L440" s="15"/>
      <c r="M440" s="15"/>
      <c r="N440" s="14"/>
      <c r="O440" s="14"/>
    </row>
    <row r="441" spans="1:15" x14ac:dyDescent="0.25">
      <c r="A441" s="12"/>
      <c r="B441" s="12"/>
      <c r="C441" s="13"/>
      <c r="D441" s="12"/>
      <c r="E441" s="12"/>
      <c r="F441" s="12"/>
      <c r="G441" s="12"/>
      <c r="H441" s="13"/>
      <c r="I441" s="12"/>
      <c r="J441" s="12"/>
      <c r="K441" s="12"/>
      <c r="L441" s="12"/>
      <c r="M441" s="12"/>
      <c r="N441" s="14"/>
      <c r="O441" s="14"/>
    </row>
    <row r="442" spans="1:15" x14ac:dyDescent="0.25">
      <c r="A442" s="15"/>
      <c r="B442" s="15"/>
      <c r="C442" s="16"/>
      <c r="D442" s="15"/>
      <c r="E442" s="15"/>
      <c r="F442" s="15"/>
      <c r="G442" s="15"/>
      <c r="H442" s="16"/>
      <c r="I442" s="15"/>
      <c r="J442" s="15"/>
      <c r="K442" s="15"/>
      <c r="L442" s="15"/>
      <c r="M442" s="15"/>
      <c r="N442" s="14"/>
      <c r="O442" s="14"/>
    </row>
    <row r="443" spans="1:15" x14ac:dyDescent="0.25">
      <c r="A443" s="12"/>
      <c r="B443" s="12"/>
      <c r="C443" s="13"/>
      <c r="D443" s="12"/>
      <c r="E443" s="12"/>
      <c r="F443" s="12"/>
      <c r="G443" s="12"/>
      <c r="H443" s="13"/>
      <c r="I443" s="12"/>
      <c r="J443" s="12"/>
      <c r="K443" s="12"/>
      <c r="L443" s="12"/>
      <c r="M443" s="12"/>
      <c r="N443" s="14"/>
      <c r="O443" s="14"/>
    </row>
    <row r="444" spans="1:15" x14ac:dyDescent="0.25">
      <c r="A444" s="15"/>
      <c r="B444" s="15"/>
      <c r="C444" s="16"/>
      <c r="D444" s="15"/>
      <c r="E444" s="15"/>
      <c r="F444" s="15"/>
      <c r="G444" s="15"/>
      <c r="H444" s="16"/>
      <c r="I444" s="15"/>
      <c r="J444" s="15"/>
      <c r="K444" s="15"/>
      <c r="L444" s="15"/>
      <c r="M444" s="15"/>
      <c r="N444" s="14"/>
      <c r="O444" s="14"/>
    </row>
    <row r="445" spans="1:15" x14ac:dyDescent="0.25">
      <c r="A445" s="12"/>
      <c r="B445" s="12"/>
      <c r="C445" s="13"/>
      <c r="D445" s="12"/>
      <c r="E445" s="12"/>
      <c r="F445" s="12"/>
      <c r="G445" s="12"/>
      <c r="H445" s="13"/>
      <c r="I445" s="12"/>
      <c r="J445" s="12"/>
      <c r="K445" s="12"/>
      <c r="L445" s="12"/>
      <c r="M445" s="12"/>
      <c r="N445" s="14"/>
      <c r="O445" s="14"/>
    </row>
    <row r="446" spans="1:15" x14ac:dyDescent="0.25">
      <c r="A446" s="15"/>
      <c r="B446" s="15"/>
      <c r="C446" s="16"/>
      <c r="D446" s="15"/>
      <c r="E446" s="15"/>
      <c r="F446" s="15"/>
      <c r="G446" s="15"/>
      <c r="H446" s="16"/>
      <c r="I446" s="15"/>
      <c r="J446" s="15"/>
      <c r="K446" s="15"/>
      <c r="L446" s="15"/>
      <c r="M446" s="15"/>
      <c r="N446" s="14"/>
      <c r="O446" s="14"/>
    </row>
    <row r="447" spans="1:15" x14ac:dyDescent="0.25">
      <c r="A447" s="12"/>
      <c r="B447" s="12"/>
      <c r="C447" s="13"/>
      <c r="D447" s="12"/>
      <c r="E447" s="12"/>
      <c r="F447" s="12"/>
      <c r="G447" s="12"/>
      <c r="H447" s="13"/>
      <c r="I447" s="12"/>
      <c r="J447" s="12"/>
      <c r="K447" s="12"/>
      <c r="L447" s="12"/>
      <c r="M447" s="12"/>
      <c r="N447" s="14"/>
      <c r="O447" s="14"/>
    </row>
    <row r="448" spans="1:15" x14ac:dyDescent="0.25">
      <c r="A448" s="15"/>
      <c r="B448" s="15"/>
      <c r="C448" s="16"/>
      <c r="D448" s="15"/>
      <c r="E448" s="15"/>
      <c r="F448" s="15"/>
      <c r="G448" s="15"/>
      <c r="H448" s="16"/>
      <c r="I448" s="15"/>
      <c r="J448" s="15"/>
      <c r="K448" s="15"/>
      <c r="L448" s="15"/>
      <c r="M448" s="15"/>
      <c r="N448" s="14"/>
      <c r="O448" s="14"/>
    </row>
    <row r="449" spans="1:15" x14ac:dyDescent="0.25">
      <c r="A449" s="12"/>
      <c r="B449" s="12"/>
      <c r="C449" s="13"/>
      <c r="D449" s="12"/>
      <c r="E449" s="12"/>
      <c r="F449" s="12"/>
      <c r="G449" s="12"/>
      <c r="H449" s="13"/>
      <c r="I449" s="12"/>
      <c r="J449" s="12"/>
      <c r="K449" s="12"/>
      <c r="L449" s="12"/>
      <c r="M449" s="12"/>
      <c r="N449" s="14"/>
      <c r="O449" s="14"/>
    </row>
    <row r="450" spans="1:15" x14ac:dyDescent="0.25">
      <c r="A450" s="15"/>
      <c r="B450" s="15"/>
      <c r="C450" s="16"/>
      <c r="D450" s="15"/>
      <c r="E450" s="15"/>
      <c r="F450" s="15"/>
      <c r="G450" s="15"/>
      <c r="H450" s="16"/>
      <c r="I450" s="15"/>
      <c r="J450" s="15"/>
      <c r="K450" s="15"/>
      <c r="L450" s="15"/>
      <c r="M450" s="15"/>
      <c r="N450" s="14"/>
      <c r="O450" s="14"/>
    </row>
    <row r="451" spans="1:15" x14ac:dyDescent="0.25">
      <c r="A451" s="12"/>
      <c r="B451" s="12"/>
      <c r="C451" s="13"/>
      <c r="D451" s="12"/>
      <c r="E451" s="12"/>
      <c r="F451" s="12"/>
      <c r="G451" s="12"/>
      <c r="H451" s="13"/>
      <c r="I451" s="12"/>
      <c r="J451" s="12"/>
      <c r="K451" s="12"/>
      <c r="L451" s="12"/>
      <c r="M451" s="12"/>
      <c r="N451" s="14"/>
      <c r="O451" s="14"/>
    </row>
    <row r="452" spans="1:15" x14ac:dyDescent="0.25">
      <c r="A452" s="15"/>
      <c r="B452" s="15"/>
      <c r="C452" s="16"/>
      <c r="D452" s="15"/>
      <c r="E452" s="15"/>
      <c r="F452" s="15"/>
      <c r="G452" s="15"/>
      <c r="H452" s="16"/>
      <c r="I452" s="15"/>
      <c r="J452" s="15"/>
      <c r="K452" s="15"/>
      <c r="L452" s="15"/>
      <c r="M452" s="15"/>
      <c r="N452" s="14"/>
      <c r="O452" s="14"/>
    </row>
    <row r="453" spans="1:15" x14ac:dyDescent="0.25">
      <c r="A453" s="12"/>
      <c r="B453" s="12"/>
      <c r="C453" s="13"/>
      <c r="D453" s="12"/>
      <c r="E453" s="12"/>
      <c r="F453" s="12"/>
      <c r="G453" s="12"/>
      <c r="H453" s="13"/>
      <c r="I453" s="12"/>
      <c r="J453" s="12"/>
      <c r="K453" s="12"/>
      <c r="L453" s="12"/>
      <c r="M453" s="12"/>
      <c r="N453" s="14"/>
      <c r="O453" s="14"/>
    </row>
    <row r="454" spans="1:15" x14ac:dyDescent="0.25">
      <c r="A454" s="15"/>
      <c r="B454" s="15"/>
      <c r="C454" s="16"/>
      <c r="D454" s="15"/>
      <c r="E454" s="15"/>
      <c r="F454" s="15"/>
      <c r="G454" s="15"/>
      <c r="H454" s="16"/>
      <c r="I454" s="15"/>
      <c r="J454" s="15"/>
      <c r="K454" s="15"/>
      <c r="L454" s="15"/>
      <c r="M454" s="15"/>
      <c r="N454" s="14"/>
      <c r="O454" s="14"/>
    </row>
    <row r="455" spans="1:15" x14ac:dyDescent="0.25">
      <c r="A455" s="12"/>
      <c r="B455" s="12"/>
      <c r="C455" s="13"/>
      <c r="D455" s="12"/>
      <c r="E455" s="12"/>
      <c r="F455" s="12"/>
      <c r="G455" s="12"/>
      <c r="H455" s="13"/>
      <c r="I455" s="12"/>
      <c r="J455" s="12"/>
      <c r="K455" s="12"/>
      <c r="L455" s="12"/>
      <c r="M455" s="12"/>
      <c r="N455" s="14"/>
      <c r="O455" s="14"/>
    </row>
    <row r="456" spans="1:15" x14ac:dyDescent="0.25">
      <c r="A456" s="15"/>
      <c r="B456" s="15"/>
      <c r="C456" s="16"/>
      <c r="D456" s="15"/>
      <c r="E456" s="15"/>
      <c r="F456" s="15"/>
      <c r="G456" s="15"/>
      <c r="H456" s="16"/>
      <c r="I456" s="15"/>
      <c r="J456" s="15"/>
      <c r="K456" s="15"/>
      <c r="L456" s="15"/>
      <c r="M456" s="15"/>
      <c r="N456" s="14"/>
      <c r="O456" s="14"/>
    </row>
    <row r="457" spans="1:15" x14ac:dyDescent="0.25">
      <c r="A457" s="12"/>
      <c r="B457" s="12"/>
      <c r="C457" s="13"/>
      <c r="D457" s="12"/>
      <c r="E457" s="12"/>
      <c r="F457" s="12"/>
      <c r="G457" s="12"/>
      <c r="H457" s="13"/>
      <c r="I457" s="12"/>
      <c r="J457" s="12"/>
      <c r="K457" s="12"/>
      <c r="L457" s="12"/>
      <c r="M457" s="12"/>
      <c r="N457" s="14"/>
      <c r="O457" s="14"/>
    </row>
    <row r="458" spans="1:15" x14ac:dyDescent="0.25">
      <c r="A458" s="15"/>
      <c r="B458" s="15"/>
      <c r="C458" s="16"/>
      <c r="D458" s="15"/>
      <c r="E458" s="15"/>
      <c r="F458" s="15"/>
      <c r="G458" s="15"/>
      <c r="H458" s="16"/>
      <c r="I458" s="15"/>
      <c r="J458" s="15"/>
      <c r="K458" s="15"/>
      <c r="L458" s="15"/>
      <c r="M458" s="15"/>
      <c r="N458" s="14"/>
      <c r="O458" s="14"/>
    </row>
    <row r="459" spans="1:15" x14ac:dyDescent="0.25">
      <c r="A459" s="12"/>
      <c r="B459" s="12"/>
      <c r="C459" s="13"/>
      <c r="D459" s="12"/>
      <c r="E459" s="12"/>
      <c r="F459" s="12"/>
      <c r="G459" s="12"/>
      <c r="H459" s="13"/>
      <c r="I459" s="12"/>
      <c r="J459" s="12"/>
      <c r="K459" s="12"/>
      <c r="L459" s="12"/>
      <c r="M459" s="12"/>
      <c r="N459" s="14"/>
      <c r="O459" s="14"/>
    </row>
    <row r="460" spans="1:15" x14ac:dyDescent="0.25">
      <c r="A460" s="15"/>
      <c r="B460" s="15"/>
      <c r="C460" s="16"/>
      <c r="D460" s="15"/>
      <c r="E460" s="15"/>
      <c r="F460" s="15"/>
      <c r="G460" s="15"/>
      <c r="H460" s="16"/>
      <c r="I460" s="15"/>
      <c r="J460" s="15"/>
      <c r="K460" s="15"/>
      <c r="L460" s="15"/>
      <c r="M460" s="15"/>
      <c r="N460" s="14"/>
      <c r="O460" s="14"/>
    </row>
    <row r="461" spans="1:15" x14ac:dyDescent="0.25">
      <c r="A461" s="12"/>
      <c r="B461" s="12"/>
      <c r="C461" s="13"/>
      <c r="D461" s="12"/>
      <c r="E461" s="12"/>
      <c r="F461" s="12"/>
      <c r="G461" s="12"/>
      <c r="H461" s="13"/>
      <c r="I461" s="12"/>
      <c r="J461" s="12"/>
      <c r="K461" s="12"/>
      <c r="L461" s="12"/>
      <c r="M461" s="12"/>
      <c r="N461" s="14"/>
      <c r="O461" s="14"/>
    </row>
    <row r="462" spans="1:15" x14ac:dyDescent="0.25">
      <c r="A462" s="15"/>
      <c r="B462" s="15"/>
      <c r="C462" s="16"/>
      <c r="D462" s="15"/>
      <c r="E462" s="15"/>
      <c r="F462" s="15"/>
      <c r="G462" s="15"/>
      <c r="H462" s="16"/>
      <c r="I462" s="15"/>
      <c r="J462" s="15"/>
      <c r="K462" s="15"/>
      <c r="L462" s="15"/>
      <c r="M462" s="15"/>
      <c r="N462" s="14"/>
      <c r="O462" s="14"/>
    </row>
    <row r="463" spans="1:15" x14ac:dyDescent="0.25">
      <c r="A463" s="12"/>
      <c r="B463" s="12"/>
      <c r="C463" s="13"/>
      <c r="D463" s="12"/>
      <c r="E463" s="12"/>
      <c r="F463" s="12"/>
      <c r="G463" s="12"/>
      <c r="H463" s="13"/>
      <c r="I463" s="12"/>
      <c r="J463" s="12"/>
      <c r="K463" s="12"/>
      <c r="L463" s="12"/>
      <c r="M463" s="12"/>
      <c r="N463" s="14"/>
      <c r="O463" s="14"/>
    </row>
    <row r="464" spans="1:15" x14ac:dyDescent="0.25">
      <c r="A464" s="15"/>
      <c r="B464" s="15"/>
      <c r="C464" s="16"/>
      <c r="D464" s="15"/>
      <c r="E464" s="15"/>
      <c r="F464" s="15"/>
      <c r="G464" s="15"/>
      <c r="H464" s="16"/>
      <c r="I464" s="15"/>
      <c r="J464" s="15"/>
      <c r="K464" s="15"/>
      <c r="L464" s="15"/>
      <c r="M464" s="15"/>
      <c r="N464" s="14"/>
      <c r="O464" s="14"/>
    </row>
    <row r="465" spans="1:15" x14ac:dyDescent="0.25">
      <c r="A465" s="12"/>
      <c r="B465" s="12"/>
      <c r="C465" s="13"/>
      <c r="D465" s="12"/>
      <c r="E465" s="12"/>
      <c r="F465" s="12"/>
      <c r="G465" s="12"/>
      <c r="H465" s="13"/>
      <c r="I465" s="12"/>
      <c r="J465" s="12"/>
      <c r="K465" s="12"/>
      <c r="L465" s="12"/>
      <c r="M465" s="12"/>
      <c r="N465" s="14"/>
      <c r="O465" s="14"/>
    </row>
    <row r="466" spans="1:15" x14ac:dyDescent="0.25">
      <c r="A466" s="15"/>
      <c r="B466" s="15"/>
      <c r="C466" s="16"/>
      <c r="D466" s="15"/>
      <c r="E466" s="15"/>
      <c r="F466" s="15"/>
      <c r="G466" s="15"/>
      <c r="H466" s="16"/>
      <c r="I466" s="15"/>
      <c r="J466" s="15"/>
      <c r="K466" s="15"/>
      <c r="L466" s="15"/>
      <c r="M466" s="15"/>
      <c r="N466" s="14"/>
      <c r="O466" s="14"/>
    </row>
    <row r="467" spans="1:15" x14ac:dyDescent="0.25">
      <c r="A467" s="12"/>
      <c r="B467" s="12"/>
      <c r="C467" s="13"/>
      <c r="D467" s="12"/>
      <c r="E467" s="12"/>
      <c r="F467" s="12"/>
      <c r="G467" s="12"/>
      <c r="H467" s="13"/>
      <c r="I467" s="12"/>
      <c r="J467" s="12"/>
      <c r="K467" s="12"/>
      <c r="L467" s="12"/>
      <c r="M467" s="12"/>
      <c r="N467" s="14"/>
      <c r="O467" s="14"/>
    </row>
    <row r="468" spans="1:15" x14ac:dyDescent="0.25">
      <c r="A468" s="15"/>
      <c r="B468" s="15"/>
      <c r="C468" s="16"/>
      <c r="D468" s="15"/>
      <c r="E468" s="15"/>
      <c r="F468" s="15"/>
      <c r="G468" s="15"/>
      <c r="H468" s="16"/>
      <c r="I468" s="15"/>
      <c r="J468" s="15"/>
      <c r="K468" s="15"/>
      <c r="L468" s="15"/>
      <c r="M468" s="15"/>
      <c r="N468" s="14"/>
      <c r="O468" s="14"/>
    </row>
    <row r="469" spans="1:15" x14ac:dyDescent="0.25">
      <c r="A469" s="12"/>
      <c r="B469" s="12"/>
      <c r="C469" s="13"/>
      <c r="D469" s="12"/>
      <c r="E469" s="12"/>
      <c r="F469" s="12"/>
      <c r="G469" s="12"/>
      <c r="H469" s="13"/>
      <c r="I469" s="12"/>
      <c r="J469" s="12"/>
      <c r="K469" s="12"/>
      <c r="L469" s="12"/>
      <c r="M469" s="12"/>
      <c r="N469" s="14"/>
      <c r="O469" s="14"/>
    </row>
    <row r="470" spans="1:15" x14ac:dyDescent="0.25">
      <c r="A470" s="15"/>
      <c r="B470" s="15"/>
      <c r="C470" s="16"/>
      <c r="D470" s="15"/>
      <c r="E470" s="15"/>
      <c r="F470" s="15"/>
      <c r="G470" s="15"/>
      <c r="H470" s="16"/>
      <c r="I470" s="15"/>
      <c r="J470" s="15"/>
      <c r="K470" s="15"/>
      <c r="L470" s="15"/>
      <c r="M470" s="15"/>
      <c r="N470" s="14"/>
      <c r="O470" s="14"/>
    </row>
    <row r="471" spans="1:15" x14ac:dyDescent="0.25">
      <c r="A471" s="12"/>
      <c r="B471" s="12"/>
      <c r="C471" s="13"/>
      <c r="D471" s="12"/>
      <c r="E471" s="12"/>
      <c r="F471" s="12"/>
      <c r="G471" s="12"/>
      <c r="H471" s="13"/>
      <c r="I471" s="12"/>
      <c r="J471" s="12"/>
      <c r="K471" s="12"/>
      <c r="L471" s="12"/>
      <c r="M471" s="12"/>
      <c r="N471" s="14"/>
      <c r="O471" s="14"/>
    </row>
    <row r="472" spans="1:15" x14ac:dyDescent="0.25">
      <c r="A472" s="15"/>
      <c r="B472" s="15"/>
      <c r="C472" s="16"/>
      <c r="D472" s="15"/>
      <c r="E472" s="15"/>
      <c r="F472" s="15"/>
      <c r="G472" s="15"/>
      <c r="H472" s="16"/>
      <c r="I472" s="15"/>
      <c r="J472" s="15"/>
      <c r="K472" s="15"/>
      <c r="L472" s="15"/>
      <c r="M472" s="15"/>
      <c r="N472" s="14"/>
      <c r="O472" s="14"/>
    </row>
    <row r="473" spans="1:15" x14ac:dyDescent="0.25">
      <c r="A473" s="12"/>
      <c r="B473" s="12"/>
      <c r="C473" s="13"/>
      <c r="D473" s="12"/>
      <c r="E473" s="12"/>
      <c r="F473" s="12"/>
      <c r="G473" s="12"/>
      <c r="H473" s="13"/>
      <c r="I473" s="12"/>
      <c r="J473" s="12"/>
      <c r="K473" s="12"/>
      <c r="L473" s="12"/>
      <c r="M473" s="12"/>
      <c r="N473" s="14"/>
      <c r="O473" s="14"/>
    </row>
    <row r="474" spans="1:15" x14ac:dyDescent="0.25">
      <c r="A474" s="15"/>
      <c r="B474" s="15"/>
      <c r="C474" s="16"/>
      <c r="D474" s="15"/>
      <c r="E474" s="15"/>
      <c r="F474" s="15"/>
      <c r="G474" s="15"/>
      <c r="H474" s="16"/>
      <c r="I474" s="15"/>
      <c r="J474" s="15"/>
      <c r="K474" s="15"/>
      <c r="L474" s="15"/>
      <c r="M474" s="15"/>
      <c r="N474" s="14"/>
      <c r="O474" s="14"/>
    </row>
    <row r="475" spans="1:15" x14ac:dyDescent="0.25">
      <c r="A475" s="12"/>
      <c r="B475" s="12"/>
      <c r="C475" s="13"/>
      <c r="D475" s="12"/>
      <c r="E475" s="12"/>
      <c r="F475" s="12"/>
      <c r="G475" s="12"/>
      <c r="H475" s="13"/>
      <c r="I475" s="12"/>
      <c r="J475" s="12"/>
      <c r="K475" s="12"/>
      <c r="L475" s="12"/>
      <c r="M475" s="12"/>
      <c r="N475" s="14"/>
      <c r="O475" s="14"/>
    </row>
    <row r="476" spans="1:15" x14ac:dyDescent="0.25">
      <c r="A476" s="15"/>
      <c r="B476" s="15"/>
      <c r="C476" s="16"/>
      <c r="D476" s="15"/>
      <c r="E476" s="15"/>
      <c r="F476" s="15"/>
      <c r="G476" s="15"/>
      <c r="H476" s="16"/>
      <c r="I476" s="15"/>
      <c r="J476" s="15"/>
      <c r="K476" s="15"/>
      <c r="L476" s="15"/>
      <c r="M476" s="15"/>
      <c r="N476" s="14"/>
      <c r="O476" s="14"/>
    </row>
    <row r="477" spans="1:15" x14ac:dyDescent="0.25">
      <c r="A477" s="12"/>
      <c r="B477" s="12"/>
      <c r="C477" s="13"/>
      <c r="D477" s="12"/>
      <c r="E477" s="12"/>
      <c r="F477" s="12"/>
      <c r="G477" s="12"/>
      <c r="H477" s="13"/>
      <c r="I477" s="12"/>
      <c r="J477" s="12"/>
      <c r="K477" s="12"/>
      <c r="L477" s="12"/>
      <c r="M477" s="12"/>
      <c r="N477" s="14"/>
      <c r="O477" s="14"/>
    </row>
    <row r="478" spans="1:15" x14ac:dyDescent="0.25">
      <c r="A478" s="15"/>
      <c r="B478" s="15"/>
      <c r="C478" s="16"/>
      <c r="D478" s="15"/>
      <c r="E478" s="15"/>
      <c r="F478" s="15"/>
      <c r="G478" s="15"/>
      <c r="H478" s="16"/>
      <c r="I478" s="15"/>
      <c r="J478" s="15"/>
      <c r="K478" s="15"/>
      <c r="L478" s="15"/>
      <c r="M478" s="15"/>
      <c r="N478" s="14"/>
      <c r="O478" s="14"/>
    </row>
    <row r="479" spans="1:15" x14ac:dyDescent="0.25">
      <c r="A479" s="12"/>
      <c r="B479" s="12"/>
      <c r="C479" s="13"/>
      <c r="D479" s="12"/>
      <c r="E479" s="12"/>
      <c r="F479" s="12"/>
      <c r="G479" s="12"/>
      <c r="H479" s="13"/>
      <c r="I479" s="12"/>
      <c r="J479" s="12"/>
      <c r="K479" s="12"/>
      <c r="L479" s="12"/>
      <c r="M479" s="12"/>
      <c r="N479" s="14"/>
      <c r="O479" s="14"/>
    </row>
    <row r="480" spans="1:15" x14ac:dyDescent="0.25">
      <c r="A480" s="15"/>
      <c r="B480" s="15"/>
      <c r="C480" s="16"/>
      <c r="D480" s="15"/>
      <c r="E480" s="15"/>
      <c r="F480" s="15"/>
      <c r="G480" s="15"/>
      <c r="H480" s="16"/>
      <c r="I480" s="15"/>
      <c r="J480" s="15"/>
      <c r="K480" s="15"/>
      <c r="L480" s="15"/>
      <c r="M480" s="15"/>
      <c r="N480" s="14"/>
      <c r="O480" s="14"/>
    </row>
    <row r="481" spans="1:15" x14ac:dyDescent="0.25">
      <c r="A481" s="12"/>
      <c r="B481" s="12"/>
      <c r="C481" s="13"/>
      <c r="D481" s="12"/>
      <c r="E481" s="12"/>
      <c r="F481" s="12"/>
      <c r="G481" s="12"/>
      <c r="H481" s="13"/>
      <c r="I481" s="12"/>
      <c r="J481" s="12"/>
      <c r="K481" s="12"/>
      <c r="L481" s="12"/>
      <c r="M481" s="12"/>
      <c r="N481" s="14"/>
      <c r="O481" s="14"/>
    </row>
    <row r="482" spans="1:15" x14ac:dyDescent="0.25">
      <c r="A482" s="15"/>
      <c r="B482" s="15"/>
      <c r="C482" s="16"/>
      <c r="D482" s="15"/>
      <c r="E482" s="15"/>
      <c r="F482" s="15"/>
      <c r="G482" s="15"/>
      <c r="H482" s="16"/>
      <c r="I482" s="15"/>
      <c r="J482" s="15"/>
      <c r="K482" s="15"/>
      <c r="L482" s="15"/>
      <c r="M482" s="15"/>
      <c r="N482" s="14"/>
      <c r="O482" s="14"/>
    </row>
    <row r="483" spans="1:15" x14ac:dyDescent="0.25">
      <c r="A483" s="12"/>
      <c r="B483" s="12"/>
      <c r="C483" s="13"/>
      <c r="D483" s="12"/>
      <c r="E483" s="12"/>
      <c r="F483" s="12"/>
      <c r="G483" s="12"/>
      <c r="H483" s="13"/>
      <c r="I483" s="12"/>
      <c r="J483" s="12"/>
      <c r="K483" s="12"/>
      <c r="L483" s="12"/>
      <c r="M483" s="12"/>
      <c r="N483" s="14"/>
      <c r="O483" s="14"/>
    </row>
    <row r="484" spans="1:15" x14ac:dyDescent="0.25">
      <c r="A484" s="15"/>
      <c r="B484" s="15"/>
      <c r="C484" s="16"/>
      <c r="D484" s="15"/>
      <c r="E484" s="15"/>
      <c r="F484" s="15"/>
      <c r="G484" s="15"/>
      <c r="H484" s="16"/>
      <c r="I484" s="15"/>
      <c r="J484" s="15"/>
      <c r="K484" s="15"/>
      <c r="L484" s="15"/>
      <c r="M484" s="15"/>
      <c r="N484" s="14"/>
      <c r="O484" s="14"/>
    </row>
    <row r="496" spans="1:15" x14ac:dyDescent="0.25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25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25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sheetPr>
    <tabColor rgb="FFFFFF00"/>
  </sheetPr>
  <dimension ref="A1:I2"/>
  <sheetViews>
    <sheetView workbookViewId="0">
      <selection activeCell="K11" sqref="K11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90" t="s">
        <v>767</v>
      </c>
      <c r="B1" s="90"/>
      <c r="C1" s="90"/>
      <c r="D1" s="90"/>
      <c r="E1" s="90"/>
      <c r="F1" s="90"/>
      <c r="G1" s="90"/>
      <c r="H1" s="90"/>
      <c r="I1" s="90"/>
    </row>
    <row r="2" spans="1:9" x14ac:dyDescent="0.25">
      <c r="A2" s="88" t="s">
        <v>37</v>
      </c>
      <c r="B2" s="88" t="s">
        <v>54</v>
      </c>
      <c r="C2" s="88" t="s">
        <v>748</v>
      </c>
      <c r="D2" s="88" t="s">
        <v>749</v>
      </c>
      <c r="E2" s="88" t="s">
        <v>750</v>
      </c>
      <c r="F2" s="88" t="s">
        <v>40</v>
      </c>
      <c r="G2" s="88" t="s">
        <v>41</v>
      </c>
      <c r="H2" s="88" t="s">
        <v>751</v>
      </c>
      <c r="I2" s="146" t="s">
        <v>754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448"/>
  <sheetViews>
    <sheetView showGridLines="0" zoomScale="85" zoomScaleNormal="85" workbookViewId="0">
      <selection activeCell="O49" sqref="O49"/>
    </sheetView>
  </sheetViews>
  <sheetFormatPr baseColWidth="10" defaultColWidth="8.85546875" defaultRowHeight="15" customHeight="1" x14ac:dyDescent="0.25"/>
  <cols>
    <col min="1" max="1" width="6" customWidth="1"/>
    <col min="2" max="2" width="8.28515625" customWidth="1"/>
    <col min="3" max="3" width="9" customWidth="1"/>
    <col min="4" max="4" width="28.85546875" customWidth="1"/>
    <col min="5" max="5" width="10" customWidth="1"/>
    <col min="6" max="6" width="32" customWidth="1"/>
    <col min="7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47.7109375" bestFit="1" customWidth="1"/>
    <col min="18" max="18" width="23.85546875" customWidth="1"/>
    <col min="19" max="19" width="18.85546875" customWidth="1"/>
    <col min="20" max="21" width="16.425781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98" t="s">
        <v>84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24" ht="59.45" customHeight="1" x14ac:dyDescent="0.25">
      <c r="A2" s="99" t="s">
        <v>85</v>
      </c>
      <c r="B2" s="99"/>
      <c r="C2" s="99"/>
      <c r="D2" s="99"/>
      <c r="E2" s="97"/>
      <c r="F2" s="97"/>
      <c r="G2" s="97"/>
      <c r="H2" s="97"/>
      <c r="I2" s="151" t="s">
        <v>745</v>
      </c>
      <c r="J2" s="151" t="s">
        <v>745</v>
      </c>
      <c r="K2" s="97"/>
      <c r="L2" s="151" t="s">
        <v>744</v>
      </c>
      <c r="M2" s="152" t="s">
        <v>744</v>
      </c>
      <c r="N2" s="137" t="s">
        <v>743</v>
      </c>
      <c r="O2" s="97"/>
    </row>
    <row r="3" spans="1:24" ht="90" customHeight="1" x14ac:dyDescent="0.25">
      <c r="A3" s="96" t="s">
        <v>91</v>
      </c>
      <c r="B3" s="166" t="s">
        <v>92</v>
      </c>
      <c r="C3" s="166" t="s">
        <v>93</v>
      </c>
      <c r="D3" s="166" t="s">
        <v>94</v>
      </c>
      <c r="E3" s="166" t="s">
        <v>95</v>
      </c>
      <c r="F3" s="166" t="s">
        <v>97</v>
      </c>
      <c r="G3" s="156" t="s">
        <v>96</v>
      </c>
      <c r="H3" s="156" t="s">
        <v>770</v>
      </c>
      <c r="I3" s="166" t="s">
        <v>98</v>
      </c>
      <c r="J3" s="156" t="s">
        <v>99</v>
      </c>
      <c r="K3" s="157" t="s">
        <v>100</v>
      </c>
      <c r="L3" s="156" t="s">
        <v>752</v>
      </c>
      <c r="M3" s="156" t="s">
        <v>753</v>
      </c>
      <c r="N3" s="156" t="s">
        <v>101</v>
      </c>
      <c r="O3" s="156" t="s">
        <v>102</v>
      </c>
      <c r="R3" s="116" t="s">
        <v>86</v>
      </c>
      <c r="S3" s="117" t="s">
        <v>87</v>
      </c>
      <c r="V3" s="119" t="s">
        <v>88</v>
      </c>
      <c r="W3" s="117" t="s">
        <v>89</v>
      </c>
      <c r="X3" s="84" t="s">
        <v>90</v>
      </c>
    </row>
    <row r="4" spans="1:24" ht="15" customHeight="1" x14ac:dyDescent="0.25">
      <c r="A4" s="154" t="s">
        <v>987</v>
      </c>
      <c r="B4" s="66" t="s">
        <v>988</v>
      </c>
      <c r="C4" s="69" t="s">
        <v>889</v>
      </c>
      <c r="D4" s="66" t="s">
        <v>890</v>
      </c>
      <c r="E4" s="66" t="s">
        <v>960</v>
      </c>
      <c r="F4" s="68" t="s">
        <v>961</v>
      </c>
      <c r="G4" s="66" t="s">
        <v>987</v>
      </c>
      <c r="H4" s="66" t="s">
        <v>988</v>
      </c>
      <c r="I4" s="67">
        <v>-59984</v>
      </c>
      <c r="J4" s="67"/>
      <c r="K4" s="70" t="s">
        <v>115</v>
      </c>
      <c r="L4" s="160"/>
      <c r="M4" s="160"/>
      <c r="N4" s="160"/>
      <c r="O4" s="162"/>
      <c r="R4" s="111" t="s">
        <v>103</v>
      </c>
      <c r="S4" s="115">
        <f t="shared" ref="S4:S28" si="0">IFERROR(SUMIF(K$4:K$20070,R4,I$4:I$20070),0)+IFERROR(SUMIF(K$4:K$20070,R4,J$4:J$20070),0)</f>
        <v>30021950</v>
      </c>
      <c r="U4" s="129" t="str">
        <f>Tabell6[[#This Row],[Gruppering*]]</f>
        <v>1. Lønn</v>
      </c>
      <c r="V4" s="104">
        <f t="shared" ref="V4:V27" si="1">IFERROR(SUMIF(K$4:K$20070,$U4,L$4:L$20070),0)</f>
        <v>0</v>
      </c>
      <c r="W4" s="118">
        <f t="shared" ref="W4:W27" si="2">+IFERROR(SUMIF(K$4:K$20070,$U4,M$4:M$20070),0)</f>
        <v>0</v>
      </c>
      <c r="X4" s="106">
        <f t="shared" ref="X4:X27" si="3">+IFERROR(SUMIF(K$4:K$20070,U4,N$4:N$20070),0)</f>
        <v>0</v>
      </c>
    </row>
    <row r="5" spans="1:24" ht="15" customHeight="1" x14ac:dyDescent="0.25">
      <c r="A5" s="154" t="s">
        <v>987</v>
      </c>
      <c r="B5" s="66" t="s">
        <v>988</v>
      </c>
      <c r="C5" s="69" t="s">
        <v>889</v>
      </c>
      <c r="D5" s="66" t="s">
        <v>890</v>
      </c>
      <c r="E5" s="66" t="s">
        <v>940</v>
      </c>
      <c r="F5" s="68" t="s">
        <v>941</v>
      </c>
      <c r="G5" s="66" t="s">
        <v>801</v>
      </c>
      <c r="H5" s="66" t="s">
        <v>802</v>
      </c>
      <c r="I5" s="67">
        <v>353992</v>
      </c>
      <c r="J5" s="67"/>
      <c r="K5" s="70" t="s">
        <v>115</v>
      </c>
      <c r="L5" s="160"/>
      <c r="M5" s="160"/>
      <c r="N5" s="160"/>
      <c r="O5" s="162"/>
      <c r="R5" s="112" t="s">
        <v>104</v>
      </c>
      <c r="S5" s="115">
        <f t="shared" si="0"/>
        <v>6723955</v>
      </c>
      <c r="U5" s="24" t="str">
        <f>Tabell6[[#This Row],[Gruppering*]]</f>
        <v>9. Pensjon</v>
      </c>
      <c r="V5" s="104">
        <f t="shared" si="1"/>
        <v>0</v>
      </c>
      <c r="W5" s="118">
        <f t="shared" si="2"/>
        <v>0</v>
      </c>
      <c r="X5" s="106">
        <f t="shared" si="3"/>
        <v>0</v>
      </c>
    </row>
    <row r="6" spans="1:24" ht="15" customHeight="1" x14ac:dyDescent="0.25">
      <c r="A6" s="154" t="s">
        <v>987</v>
      </c>
      <c r="B6" s="66" t="s">
        <v>988</v>
      </c>
      <c r="C6" s="69" t="s">
        <v>889</v>
      </c>
      <c r="D6" s="66" t="s">
        <v>890</v>
      </c>
      <c r="E6" s="66" t="s">
        <v>960</v>
      </c>
      <c r="F6" s="68" t="s">
        <v>961</v>
      </c>
      <c r="G6" s="66" t="s">
        <v>801</v>
      </c>
      <c r="H6" s="66" t="s">
        <v>802</v>
      </c>
      <c r="I6" s="67">
        <v>6229</v>
      </c>
      <c r="J6" s="67"/>
      <c r="K6" s="70" t="s">
        <v>115</v>
      </c>
      <c r="L6" s="160"/>
      <c r="M6" s="160"/>
      <c r="N6" s="160"/>
      <c r="O6" s="161"/>
      <c r="R6" s="111" t="s">
        <v>105</v>
      </c>
      <c r="S6" s="115">
        <f t="shared" si="0"/>
        <v>4329474</v>
      </c>
      <c r="U6" s="129" t="str">
        <f>Tabell6[[#This Row],[Gruppering*]]</f>
        <v>91. Arbeidsgiveravgift</v>
      </c>
      <c r="V6" s="104">
        <f t="shared" si="1"/>
        <v>0</v>
      </c>
      <c r="W6" s="118">
        <f t="shared" si="2"/>
        <v>0</v>
      </c>
      <c r="X6" s="106">
        <f t="shared" si="3"/>
        <v>0</v>
      </c>
    </row>
    <row r="7" spans="1:24" ht="15" customHeight="1" x14ac:dyDescent="0.25">
      <c r="A7" s="154" t="s">
        <v>948</v>
      </c>
      <c r="B7" s="69" t="s">
        <v>949</v>
      </c>
      <c r="C7" s="69" t="s">
        <v>889</v>
      </c>
      <c r="D7" s="66" t="s">
        <v>890</v>
      </c>
      <c r="E7" s="66" t="s">
        <v>950</v>
      </c>
      <c r="F7" s="67" t="s">
        <v>951</v>
      </c>
      <c r="G7" s="66" t="s">
        <v>952</v>
      </c>
      <c r="H7" s="66" t="s">
        <v>953</v>
      </c>
      <c r="I7" s="67">
        <v>1043</v>
      </c>
      <c r="J7" s="67"/>
      <c r="K7" s="70" t="s">
        <v>113</v>
      </c>
      <c r="L7" s="160"/>
      <c r="M7" s="160"/>
      <c r="N7" s="160"/>
      <c r="O7" s="162" t="s">
        <v>953</v>
      </c>
      <c r="R7" s="112" t="s">
        <v>107</v>
      </c>
      <c r="S7" s="115">
        <f t="shared" si="0"/>
        <v>591272</v>
      </c>
      <c r="U7" s="24" t="str">
        <f>Tabell6[[#This Row],[Gruppering*]]</f>
        <v xml:space="preserve">2. Varer og tjenester </v>
      </c>
      <c r="V7" s="104">
        <f t="shared" si="1"/>
        <v>0</v>
      </c>
      <c r="W7" s="118">
        <f t="shared" si="2"/>
        <v>0</v>
      </c>
      <c r="X7" s="106">
        <f t="shared" si="3"/>
        <v>0</v>
      </c>
    </row>
    <row r="8" spans="1:24" ht="15" customHeight="1" x14ac:dyDescent="0.25">
      <c r="A8" s="154" t="s">
        <v>948</v>
      </c>
      <c r="B8" s="69" t="s">
        <v>949</v>
      </c>
      <c r="C8" s="69" t="s">
        <v>889</v>
      </c>
      <c r="D8" s="66" t="s">
        <v>890</v>
      </c>
      <c r="E8" s="66" t="s">
        <v>910</v>
      </c>
      <c r="F8" s="67" t="s">
        <v>911</v>
      </c>
      <c r="G8" s="66" t="s">
        <v>952</v>
      </c>
      <c r="H8" s="66" t="s">
        <v>953</v>
      </c>
      <c r="I8" s="67">
        <v>249</v>
      </c>
      <c r="J8" s="67"/>
      <c r="K8" s="70" t="s">
        <v>113</v>
      </c>
      <c r="L8" s="160"/>
      <c r="M8" s="160"/>
      <c r="N8" s="160"/>
      <c r="O8" s="161" t="s">
        <v>953</v>
      </c>
      <c r="R8" s="111" t="s">
        <v>108</v>
      </c>
      <c r="S8" s="115">
        <f t="shared" si="0"/>
        <v>238028</v>
      </c>
      <c r="U8" s="129" t="str">
        <f>Tabell6[[#This Row],[Gruppering*]]</f>
        <v>3. Mva</v>
      </c>
      <c r="V8" s="104">
        <f t="shared" si="1"/>
        <v>0</v>
      </c>
      <c r="W8" s="118">
        <f t="shared" si="2"/>
        <v>0</v>
      </c>
      <c r="X8" s="106">
        <f t="shared" si="3"/>
        <v>0</v>
      </c>
    </row>
    <row r="9" spans="1:24" ht="15" customHeight="1" x14ac:dyDescent="0.25">
      <c r="A9" s="154" t="s">
        <v>948</v>
      </c>
      <c r="B9" s="69" t="s">
        <v>949</v>
      </c>
      <c r="C9" s="69" t="s">
        <v>889</v>
      </c>
      <c r="D9" s="66" t="s">
        <v>890</v>
      </c>
      <c r="E9" s="66" t="s">
        <v>914</v>
      </c>
      <c r="F9" s="67" t="s">
        <v>915</v>
      </c>
      <c r="G9" s="66" t="s">
        <v>952</v>
      </c>
      <c r="H9" s="66" t="s">
        <v>953</v>
      </c>
      <c r="I9" s="67">
        <v>71</v>
      </c>
      <c r="J9" s="67"/>
      <c r="K9" s="70" t="s">
        <v>113</v>
      </c>
      <c r="L9" s="160"/>
      <c r="M9" s="160"/>
      <c r="N9" s="160"/>
      <c r="O9" s="162" t="s">
        <v>953</v>
      </c>
      <c r="R9" s="112" t="s">
        <v>109</v>
      </c>
      <c r="S9" s="115">
        <f t="shared" si="0"/>
        <v>-2113045</v>
      </c>
      <c r="U9" s="24" t="str">
        <f>Tabell6[[#This Row],[Gruppering*]]</f>
        <v>5. Sykelønnsrefusjon</v>
      </c>
      <c r="V9" s="104">
        <f t="shared" si="1"/>
        <v>0</v>
      </c>
      <c r="W9" s="118">
        <f t="shared" si="2"/>
        <v>0</v>
      </c>
      <c r="X9" s="106">
        <f t="shared" si="3"/>
        <v>0</v>
      </c>
    </row>
    <row r="10" spans="1:24" ht="15" customHeight="1" x14ac:dyDescent="0.25">
      <c r="A10" s="154" t="s">
        <v>948</v>
      </c>
      <c r="B10" s="69" t="s">
        <v>949</v>
      </c>
      <c r="C10" s="69" t="s">
        <v>889</v>
      </c>
      <c r="D10" s="66" t="s">
        <v>890</v>
      </c>
      <c r="E10" s="66" t="s">
        <v>879</v>
      </c>
      <c r="F10" s="67" t="s">
        <v>880</v>
      </c>
      <c r="G10" s="66" t="s">
        <v>952</v>
      </c>
      <c r="H10" s="66" t="s">
        <v>953</v>
      </c>
      <c r="I10" s="67">
        <v>195</v>
      </c>
      <c r="J10" s="67"/>
      <c r="K10" s="70" t="s">
        <v>113</v>
      </c>
      <c r="L10" s="160"/>
      <c r="M10" s="160"/>
      <c r="N10" s="160"/>
      <c r="O10" s="161" t="s">
        <v>953</v>
      </c>
      <c r="R10" s="111" t="s">
        <v>110</v>
      </c>
      <c r="S10" s="115">
        <f t="shared" si="0"/>
        <v>-238028</v>
      </c>
      <c r="U10" s="129" t="str">
        <f>Tabell6[[#This Row],[Gruppering*]]</f>
        <v>6. Mva-kompensasjon</v>
      </c>
      <c r="V10" s="104">
        <f t="shared" si="1"/>
        <v>0</v>
      </c>
      <c r="W10" s="118">
        <f t="shared" si="2"/>
        <v>0</v>
      </c>
      <c r="X10" s="106">
        <f t="shared" si="3"/>
        <v>0</v>
      </c>
    </row>
    <row r="11" spans="1:24" ht="15" customHeight="1" x14ac:dyDescent="0.25">
      <c r="A11" s="154" t="s">
        <v>948</v>
      </c>
      <c r="B11" s="69" t="s">
        <v>949</v>
      </c>
      <c r="C11" s="69" t="s">
        <v>889</v>
      </c>
      <c r="D11" s="66" t="s">
        <v>890</v>
      </c>
      <c r="E11" s="66" t="s">
        <v>887</v>
      </c>
      <c r="F11" s="67" t="s">
        <v>888</v>
      </c>
      <c r="G11" s="66" t="s">
        <v>952</v>
      </c>
      <c r="H11" s="66" t="s">
        <v>953</v>
      </c>
      <c r="I11" s="67">
        <v>-195</v>
      </c>
      <c r="J11" s="67"/>
      <c r="K11" s="70" t="s">
        <v>113</v>
      </c>
      <c r="L11" s="160"/>
      <c r="M11" s="160"/>
      <c r="N11" s="160"/>
      <c r="O11" s="162" t="s">
        <v>953</v>
      </c>
      <c r="R11" s="114" t="s">
        <v>119</v>
      </c>
      <c r="S11" s="115">
        <f t="shared" si="0"/>
        <v>-27394</v>
      </c>
      <c r="U11" s="24" t="str">
        <f>Tabell6[[#This Row],[Gruppering*]]</f>
        <v>7. Matpenger</v>
      </c>
      <c r="V11" s="104">
        <f t="shared" si="1"/>
        <v>0</v>
      </c>
      <c r="W11" s="118">
        <f t="shared" si="2"/>
        <v>0</v>
      </c>
      <c r="X11" s="106">
        <f t="shared" si="3"/>
        <v>0</v>
      </c>
    </row>
    <row r="12" spans="1:24" ht="15" customHeight="1" x14ac:dyDescent="0.25">
      <c r="A12" s="154" t="s">
        <v>948</v>
      </c>
      <c r="B12" s="66" t="s">
        <v>949</v>
      </c>
      <c r="C12" s="69" t="s">
        <v>889</v>
      </c>
      <c r="D12" s="66" t="s">
        <v>890</v>
      </c>
      <c r="E12" s="66" t="s">
        <v>893</v>
      </c>
      <c r="F12" s="68" t="s">
        <v>894</v>
      </c>
      <c r="G12" s="66" t="s">
        <v>801</v>
      </c>
      <c r="H12" s="66" t="s">
        <v>802</v>
      </c>
      <c r="I12" s="67">
        <v>500983</v>
      </c>
      <c r="J12" s="67"/>
      <c r="K12" s="70" t="s">
        <v>106</v>
      </c>
      <c r="L12" s="160"/>
      <c r="M12" s="160"/>
      <c r="N12" s="160"/>
      <c r="O12" s="162"/>
      <c r="R12" s="112" t="s">
        <v>755</v>
      </c>
      <c r="S12" s="115">
        <f t="shared" si="0"/>
        <v>0</v>
      </c>
      <c r="U12" s="24" t="str">
        <f>Tabell6[[#This Row],[Gruppering*]]</f>
        <v>Andre tilskudd og refusjoner</v>
      </c>
      <c r="V12" s="104">
        <f t="shared" si="1"/>
        <v>0</v>
      </c>
      <c r="W12" s="118">
        <f t="shared" si="2"/>
        <v>0</v>
      </c>
      <c r="X12" s="106">
        <f t="shared" si="3"/>
        <v>0</v>
      </c>
    </row>
    <row r="13" spans="1:24" ht="15" customHeight="1" x14ac:dyDescent="0.25">
      <c r="A13" s="154" t="s">
        <v>948</v>
      </c>
      <c r="B13" s="66" t="s">
        <v>949</v>
      </c>
      <c r="C13" s="69" t="s">
        <v>889</v>
      </c>
      <c r="D13" s="66" t="s">
        <v>890</v>
      </c>
      <c r="E13" s="66" t="s">
        <v>906</v>
      </c>
      <c r="F13" s="68" t="s">
        <v>907</v>
      </c>
      <c r="G13" s="66" t="s">
        <v>801</v>
      </c>
      <c r="H13" s="66" t="s">
        <v>802</v>
      </c>
      <c r="I13" s="67">
        <v>56</v>
      </c>
      <c r="J13" s="67"/>
      <c r="K13" s="70" t="s">
        <v>106</v>
      </c>
      <c r="L13" s="160"/>
      <c r="M13" s="160"/>
      <c r="N13" s="160"/>
      <c r="O13" s="161"/>
      <c r="R13" s="111" t="s">
        <v>111</v>
      </c>
      <c r="S13" s="115">
        <f t="shared" si="0"/>
        <v>-1672086</v>
      </c>
      <c r="U13" s="129" t="str">
        <f>Tabell6[[#This Row],[Gruppering*]]</f>
        <v>Foreldrebetaling</v>
      </c>
      <c r="V13" s="104">
        <f t="shared" si="1"/>
        <v>0</v>
      </c>
      <c r="W13" s="118">
        <f t="shared" si="2"/>
        <v>0</v>
      </c>
      <c r="X13" s="106">
        <f t="shared" si="3"/>
        <v>0</v>
      </c>
    </row>
    <row r="14" spans="1:24" ht="15" customHeight="1" x14ac:dyDescent="0.25">
      <c r="A14" s="154" t="s">
        <v>948</v>
      </c>
      <c r="B14" s="66" t="s">
        <v>949</v>
      </c>
      <c r="C14" s="69" t="s">
        <v>889</v>
      </c>
      <c r="D14" s="66" t="s">
        <v>890</v>
      </c>
      <c r="E14" s="66" t="s">
        <v>807</v>
      </c>
      <c r="F14" s="68" t="s">
        <v>808</v>
      </c>
      <c r="G14" s="66" t="s">
        <v>801</v>
      </c>
      <c r="H14" s="66" t="s">
        <v>802</v>
      </c>
      <c r="I14" s="67">
        <v>78082</v>
      </c>
      <c r="J14" s="67"/>
      <c r="K14" s="70" t="s">
        <v>106</v>
      </c>
      <c r="L14" s="160"/>
      <c r="M14" s="160"/>
      <c r="N14" s="160"/>
      <c r="O14" s="162"/>
      <c r="R14" s="112" t="s">
        <v>758</v>
      </c>
      <c r="S14" s="115">
        <f t="shared" si="0"/>
        <v>0</v>
      </c>
      <c r="U14" s="24" t="str">
        <f>Tabell6[[#This Row],[Gruppering*]]</f>
        <v>Internt salg/matsalg</v>
      </c>
      <c r="V14" s="104">
        <f t="shared" si="1"/>
        <v>0</v>
      </c>
      <c r="W14" s="118">
        <f t="shared" si="2"/>
        <v>0</v>
      </c>
      <c r="X14" s="106">
        <f t="shared" si="3"/>
        <v>0</v>
      </c>
    </row>
    <row r="15" spans="1:24" ht="15" customHeight="1" x14ac:dyDescent="0.25">
      <c r="A15" s="154" t="s">
        <v>948</v>
      </c>
      <c r="B15" s="66" t="s">
        <v>949</v>
      </c>
      <c r="C15" s="69" t="s">
        <v>889</v>
      </c>
      <c r="D15" s="66" t="s">
        <v>890</v>
      </c>
      <c r="E15" s="66" t="s">
        <v>813</v>
      </c>
      <c r="F15" s="68" t="s">
        <v>814</v>
      </c>
      <c r="G15" s="66" t="s">
        <v>801</v>
      </c>
      <c r="H15" s="66" t="s">
        <v>802</v>
      </c>
      <c r="I15" s="67">
        <v>816</v>
      </c>
      <c r="J15" s="67"/>
      <c r="K15" s="70" t="s">
        <v>106</v>
      </c>
      <c r="L15" s="160"/>
      <c r="M15" s="160"/>
      <c r="N15" s="160"/>
      <c r="O15" s="161"/>
      <c r="R15" s="111" t="s">
        <v>106</v>
      </c>
      <c r="S15" s="115">
        <f t="shared" si="0"/>
        <v>1330598</v>
      </c>
      <c r="U15" s="129" t="str">
        <f>Tabell6[[#This Row],[Gruppering*]]</f>
        <v>Barnehagemyndighet</v>
      </c>
      <c r="V15" s="104">
        <f t="shared" si="1"/>
        <v>0</v>
      </c>
      <c r="W15" s="118">
        <f t="shared" si="2"/>
        <v>0</v>
      </c>
      <c r="X15" s="106">
        <f t="shared" si="3"/>
        <v>0</v>
      </c>
    </row>
    <row r="16" spans="1:24" ht="15" customHeight="1" x14ac:dyDescent="0.25">
      <c r="A16" s="154" t="s">
        <v>948</v>
      </c>
      <c r="B16" s="66" t="s">
        <v>949</v>
      </c>
      <c r="C16" s="69" t="s">
        <v>889</v>
      </c>
      <c r="D16" s="66" t="s">
        <v>890</v>
      </c>
      <c r="E16" s="66" t="s">
        <v>815</v>
      </c>
      <c r="F16" s="68" t="s">
        <v>141</v>
      </c>
      <c r="G16" s="66" t="s">
        <v>801</v>
      </c>
      <c r="H16" s="66" t="s">
        <v>802</v>
      </c>
      <c r="I16" s="67">
        <v>80918</v>
      </c>
      <c r="J16" s="67"/>
      <c r="K16" s="70" t="s">
        <v>106</v>
      </c>
      <c r="L16" s="160"/>
      <c r="M16" s="160"/>
      <c r="N16" s="160"/>
      <c r="O16" s="162"/>
      <c r="R16" s="112" t="s">
        <v>114</v>
      </c>
      <c r="S16" s="115">
        <f t="shared" si="0"/>
        <v>0</v>
      </c>
      <c r="U16" s="24" t="str">
        <f>Tabell6[[#This Row],[Gruppering*]]</f>
        <v>Feilføring</v>
      </c>
      <c r="V16" s="104">
        <f t="shared" si="1"/>
        <v>0</v>
      </c>
      <c r="W16" s="118">
        <f t="shared" si="2"/>
        <v>0</v>
      </c>
      <c r="X16" s="106">
        <f t="shared" si="3"/>
        <v>0</v>
      </c>
    </row>
    <row r="17" spans="1:24" ht="15" customHeight="1" x14ac:dyDescent="0.25">
      <c r="A17" s="154" t="s">
        <v>948</v>
      </c>
      <c r="B17" s="66" t="s">
        <v>949</v>
      </c>
      <c r="C17" s="69" t="s">
        <v>889</v>
      </c>
      <c r="D17" s="66" t="s">
        <v>890</v>
      </c>
      <c r="E17" s="66" t="s">
        <v>950</v>
      </c>
      <c r="F17" s="68" t="s">
        <v>951</v>
      </c>
      <c r="G17" s="66" t="s">
        <v>801</v>
      </c>
      <c r="H17" s="66" t="s">
        <v>802</v>
      </c>
      <c r="I17" s="67">
        <v>74</v>
      </c>
      <c r="J17" s="67"/>
      <c r="K17" s="70" t="s">
        <v>106</v>
      </c>
      <c r="L17" s="160"/>
      <c r="M17" s="160"/>
      <c r="N17" s="160"/>
      <c r="O17" s="161"/>
      <c r="R17" s="113" t="s">
        <v>115</v>
      </c>
      <c r="S17" s="115">
        <f t="shared" si="0"/>
        <v>236492</v>
      </c>
      <c r="U17" s="24" t="str">
        <f>Tabell6[[#This Row],[Gruppering*]]</f>
        <v>Lærlinger</v>
      </c>
      <c r="V17" s="104">
        <f t="shared" si="1"/>
        <v>0</v>
      </c>
      <c r="W17" s="118">
        <f t="shared" si="2"/>
        <v>0</v>
      </c>
      <c r="X17" s="106">
        <f t="shared" si="3"/>
        <v>0</v>
      </c>
    </row>
    <row r="18" spans="1:24" ht="15" customHeight="1" x14ac:dyDescent="0.25">
      <c r="A18" s="154" t="s">
        <v>948</v>
      </c>
      <c r="B18" s="66" t="s">
        <v>949</v>
      </c>
      <c r="C18" s="69" t="s">
        <v>889</v>
      </c>
      <c r="D18" s="66" t="s">
        <v>890</v>
      </c>
      <c r="E18" s="66" t="s">
        <v>826</v>
      </c>
      <c r="F18" s="68" t="s">
        <v>827</v>
      </c>
      <c r="G18" s="66" t="s">
        <v>801</v>
      </c>
      <c r="H18" s="66" t="s">
        <v>802</v>
      </c>
      <c r="I18" s="67">
        <v>923</v>
      </c>
      <c r="J18" s="67"/>
      <c r="K18" s="70" t="s">
        <v>106</v>
      </c>
      <c r="L18" s="160"/>
      <c r="M18" s="160"/>
      <c r="N18" s="160"/>
      <c r="O18" s="162"/>
      <c r="R18" s="114" t="s">
        <v>116</v>
      </c>
      <c r="S18" s="115">
        <f t="shared" si="0"/>
        <v>0</v>
      </c>
      <c r="U18" s="24" t="str">
        <f>Tabell6[[#This Row],[Gruppering*]]</f>
        <v>Tap på krav</v>
      </c>
      <c r="V18" s="104">
        <f t="shared" si="1"/>
        <v>0</v>
      </c>
      <c r="W18" s="118">
        <f t="shared" si="2"/>
        <v>0</v>
      </c>
      <c r="X18" s="106">
        <f t="shared" si="3"/>
        <v>0</v>
      </c>
    </row>
    <row r="19" spans="1:24" ht="15" customHeight="1" x14ac:dyDescent="0.25">
      <c r="A19" s="154" t="s">
        <v>948</v>
      </c>
      <c r="B19" s="66" t="s">
        <v>949</v>
      </c>
      <c r="C19" s="69" t="s">
        <v>889</v>
      </c>
      <c r="D19" s="66" t="s">
        <v>890</v>
      </c>
      <c r="E19" s="66" t="s">
        <v>836</v>
      </c>
      <c r="F19" s="68" t="s">
        <v>837</v>
      </c>
      <c r="G19" s="66" t="s">
        <v>801</v>
      </c>
      <c r="H19" s="66" t="s">
        <v>802</v>
      </c>
      <c r="I19" s="67">
        <v>4256</v>
      </c>
      <c r="J19" s="67"/>
      <c r="K19" s="70" t="s">
        <v>106</v>
      </c>
      <c r="L19" s="160"/>
      <c r="M19" s="160"/>
      <c r="N19" s="160"/>
      <c r="O19" s="161"/>
      <c r="R19" s="114" t="s">
        <v>757</v>
      </c>
      <c r="S19" s="115">
        <f t="shared" si="0"/>
        <v>25000</v>
      </c>
      <c r="U19" s="24" t="str">
        <f>Tabell6[[#This Row],[Gruppering*]]</f>
        <v>Kapitalkostnader, renter og avskrivning bygg</v>
      </c>
      <c r="V19" s="104">
        <f t="shared" si="1"/>
        <v>0</v>
      </c>
      <c r="W19" s="118">
        <f t="shared" si="2"/>
        <v>0</v>
      </c>
      <c r="X19" s="106">
        <f t="shared" si="3"/>
        <v>0</v>
      </c>
    </row>
    <row r="20" spans="1:24" ht="15" customHeight="1" x14ac:dyDescent="0.25">
      <c r="A20" s="154" t="s">
        <v>948</v>
      </c>
      <c r="B20" s="66" t="s">
        <v>949</v>
      </c>
      <c r="C20" s="69" t="s">
        <v>889</v>
      </c>
      <c r="D20" s="66" t="s">
        <v>890</v>
      </c>
      <c r="E20" s="66" t="s">
        <v>912</v>
      </c>
      <c r="F20" s="68" t="s">
        <v>913</v>
      </c>
      <c r="G20" s="66" t="s">
        <v>801</v>
      </c>
      <c r="H20" s="66" t="s">
        <v>802</v>
      </c>
      <c r="I20" s="67">
        <v>131</v>
      </c>
      <c r="J20" s="67"/>
      <c r="K20" s="70" t="s">
        <v>106</v>
      </c>
      <c r="L20" s="160"/>
      <c r="M20" s="160"/>
      <c r="N20" s="160"/>
      <c r="O20" s="162"/>
      <c r="R20" s="114" t="s">
        <v>112</v>
      </c>
      <c r="S20" s="115">
        <f t="shared" si="0"/>
        <v>56885562</v>
      </c>
      <c r="U20" s="24" t="str">
        <f>Tabell6[[#This Row],[Gruppering*]]</f>
        <v>Tilskudd private</v>
      </c>
      <c r="V20" s="104">
        <f t="shared" si="1"/>
        <v>0</v>
      </c>
      <c r="W20" s="118">
        <f t="shared" si="2"/>
        <v>0</v>
      </c>
      <c r="X20" s="106">
        <f t="shared" si="3"/>
        <v>0</v>
      </c>
    </row>
    <row r="21" spans="1:24" ht="15" customHeight="1" x14ac:dyDescent="0.25">
      <c r="A21" s="154" t="s">
        <v>948</v>
      </c>
      <c r="B21" s="66" t="s">
        <v>949</v>
      </c>
      <c r="C21" s="69" t="s">
        <v>889</v>
      </c>
      <c r="D21" s="66" t="s">
        <v>890</v>
      </c>
      <c r="E21" s="66" t="s">
        <v>914</v>
      </c>
      <c r="F21" s="68" t="s">
        <v>915</v>
      </c>
      <c r="G21" s="66" t="s">
        <v>801</v>
      </c>
      <c r="H21" s="66" t="s">
        <v>802</v>
      </c>
      <c r="I21" s="67">
        <v>179</v>
      </c>
      <c r="J21" s="67"/>
      <c r="K21" s="70" t="s">
        <v>106</v>
      </c>
      <c r="L21" s="160"/>
      <c r="M21" s="160"/>
      <c r="N21" s="160"/>
      <c r="O21" s="161"/>
      <c r="R21" s="114" t="s">
        <v>113</v>
      </c>
      <c r="S21" s="115">
        <f t="shared" si="0"/>
        <v>-330435</v>
      </c>
      <c r="U21" s="24" t="str">
        <f>Tabell6[[#This Row],[Gruppering*]]</f>
        <v>Annet</v>
      </c>
      <c r="V21" s="104">
        <f t="shared" si="1"/>
        <v>0</v>
      </c>
      <c r="W21" s="118">
        <f t="shared" si="2"/>
        <v>0</v>
      </c>
      <c r="X21" s="106">
        <f t="shared" si="3"/>
        <v>0</v>
      </c>
    </row>
    <row r="22" spans="1:24" ht="15" customHeight="1" x14ac:dyDescent="0.25">
      <c r="A22" s="154" t="s">
        <v>948</v>
      </c>
      <c r="B22" s="66" t="s">
        <v>949</v>
      </c>
      <c r="C22" s="69" t="s">
        <v>889</v>
      </c>
      <c r="D22" s="66" t="s">
        <v>890</v>
      </c>
      <c r="E22" s="66" t="s">
        <v>879</v>
      </c>
      <c r="F22" s="68" t="s">
        <v>880</v>
      </c>
      <c r="G22" s="66" t="s">
        <v>801</v>
      </c>
      <c r="H22" s="66" t="s">
        <v>802</v>
      </c>
      <c r="I22" s="67">
        <v>621</v>
      </c>
      <c r="J22" s="67"/>
      <c r="K22" s="70" t="s">
        <v>106</v>
      </c>
      <c r="L22" s="160"/>
      <c r="M22" s="160"/>
      <c r="N22" s="160"/>
      <c r="O22" s="162"/>
      <c r="R22" s="114"/>
      <c r="S22" s="115">
        <f t="shared" si="0"/>
        <v>0</v>
      </c>
      <c r="U22" s="83"/>
      <c r="V22" s="104">
        <f t="shared" si="1"/>
        <v>0</v>
      </c>
      <c r="W22" s="118">
        <f t="shared" si="2"/>
        <v>0</v>
      </c>
      <c r="X22" s="106">
        <f t="shared" si="3"/>
        <v>0</v>
      </c>
    </row>
    <row r="23" spans="1:24" ht="15" customHeight="1" x14ac:dyDescent="0.25">
      <c r="A23" s="154" t="s">
        <v>948</v>
      </c>
      <c r="B23" s="66" t="s">
        <v>949</v>
      </c>
      <c r="C23" s="69" t="s">
        <v>889</v>
      </c>
      <c r="D23" s="66" t="s">
        <v>890</v>
      </c>
      <c r="E23" s="66" t="s">
        <v>887</v>
      </c>
      <c r="F23" s="68" t="s">
        <v>888</v>
      </c>
      <c r="G23" s="66" t="s">
        <v>801</v>
      </c>
      <c r="H23" s="66" t="s">
        <v>802</v>
      </c>
      <c r="I23" s="67">
        <v>-621</v>
      </c>
      <c r="J23" s="67"/>
      <c r="K23" s="70" t="s">
        <v>106</v>
      </c>
      <c r="L23" s="160"/>
      <c r="M23" s="160"/>
      <c r="N23" s="160"/>
      <c r="O23" s="161"/>
      <c r="R23" s="114"/>
      <c r="S23" s="115">
        <f t="shared" si="0"/>
        <v>0</v>
      </c>
      <c r="U23" s="83"/>
      <c r="V23" s="104">
        <f t="shared" si="1"/>
        <v>0</v>
      </c>
      <c r="W23" s="118">
        <f t="shared" si="2"/>
        <v>0</v>
      </c>
      <c r="X23" s="106">
        <f t="shared" si="3"/>
        <v>0</v>
      </c>
    </row>
    <row r="24" spans="1:24" ht="15" customHeight="1" x14ac:dyDescent="0.25">
      <c r="A24" s="180" t="s">
        <v>918</v>
      </c>
      <c r="B24" s="181" t="s">
        <v>919</v>
      </c>
      <c r="C24" s="181" t="s">
        <v>889</v>
      </c>
      <c r="D24" s="182" t="s">
        <v>890</v>
      </c>
      <c r="E24" s="182" t="s">
        <v>920</v>
      </c>
      <c r="F24" s="184" t="s">
        <v>921</v>
      </c>
      <c r="G24" s="182" t="s">
        <v>922</v>
      </c>
      <c r="H24" s="182" t="s">
        <v>923</v>
      </c>
      <c r="I24" s="184">
        <v>-327223</v>
      </c>
      <c r="J24" s="184"/>
      <c r="K24" s="185" t="s">
        <v>113</v>
      </c>
      <c r="L24" s="186"/>
      <c r="M24" s="186"/>
      <c r="N24" s="186"/>
      <c r="O24" s="187" t="s">
        <v>1026</v>
      </c>
      <c r="R24" s="114"/>
      <c r="S24" s="115">
        <f t="shared" si="0"/>
        <v>0</v>
      </c>
      <c r="U24" s="83"/>
      <c r="V24" s="104">
        <f t="shared" si="1"/>
        <v>0</v>
      </c>
      <c r="W24" s="118">
        <f t="shared" si="2"/>
        <v>0</v>
      </c>
      <c r="X24" s="106">
        <f t="shared" si="3"/>
        <v>0</v>
      </c>
    </row>
    <row r="25" spans="1:24" ht="15" customHeight="1" x14ac:dyDescent="0.25">
      <c r="A25" s="154" t="s">
        <v>918</v>
      </c>
      <c r="B25" s="69" t="s">
        <v>919</v>
      </c>
      <c r="C25" s="69" t="s">
        <v>889</v>
      </c>
      <c r="D25" s="66" t="s">
        <v>890</v>
      </c>
      <c r="E25" s="66" t="s">
        <v>928</v>
      </c>
      <c r="F25" s="67" t="s">
        <v>929</v>
      </c>
      <c r="G25" s="66" t="s">
        <v>930</v>
      </c>
      <c r="H25" s="66" t="s">
        <v>931</v>
      </c>
      <c r="I25" s="67">
        <v>50000</v>
      </c>
      <c r="J25" s="67"/>
      <c r="K25" s="70" t="s">
        <v>113</v>
      </c>
      <c r="L25" s="160"/>
      <c r="M25" s="160"/>
      <c r="N25" s="160"/>
      <c r="O25" s="161" t="s">
        <v>931</v>
      </c>
      <c r="R25" s="114"/>
      <c r="S25" s="115">
        <f t="shared" si="0"/>
        <v>0</v>
      </c>
      <c r="U25" s="83"/>
      <c r="V25" s="104">
        <f t="shared" si="1"/>
        <v>0</v>
      </c>
      <c r="W25" s="118">
        <f t="shared" si="2"/>
        <v>0</v>
      </c>
      <c r="X25" s="106">
        <f t="shared" si="3"/>
        <v>0</v>
      </c>
    </row>
    <row r="26" spans="1:24" ht="15" customHeight="1" x14ac:dyDescent="0.25">
      <c r="A26" s="154" t="s">
        <v>918</v>
      </c>
      <c r="B26" s="69" t="s">
        <v>919</v>
      </c>
      <c r="C26" s="69" t="s">
        <v>889</v>
      </c>
      <c r="D26" s="66" t="s">
        <v>890</v>
      </c>
      <c r="E26" s="66" t="s">
        <v>920</v>
      </c>
      <c r="F26" s="67" t="s">
        <v>921</v>
      </c>
      <c r="G26" s="66" t="s">
        <v>930</v>
      </c>
      <c r="H26" s="66" t="s">
        <v>931</v>
      </c>
      <c r="I26" s="67">
        <v>-112900</v>
      </c>
      <c r="J26" s="67"/>
      <c r="K26" s="70" t="s">
        <v>113</v>
      </c>
      <c r="L26" s="160"/>
      <c r="M26" s="160"/>
      <c r="N26" s="160"/>
      <c r="O26" s="162" t="s">
        <v>931</v>
      </c>
      <c r="R26" s="114"/>
      <c r="S26" s="115">
        <f t="shared" si="0"/>
        <v>0</v>
      </c>
      <c r="U26" s="83"/>
      <c r="V26" s="104">
        <f t="shared" si="1"/>
        <v>0</v>
      </c>
      <c r="W26" s="118">
        <f t="shared" si="2"/>
        <v>0</v>
      </c>
      <c r="X26" s="106">
        <f t="shared" si="3"/>
        <v>0</v>
      </c>
    </row>
    <row r="27" spans="1:24" ht="15" customHeight="1" x14ac:dyDescent="0.25">
      <c r="A27" s="154" t="s">
        <v>918</v>
      </c>
      <c r="B27" s="69" t="s">
        <v>919</v>
      </c>
      <c r="C27" s="69" t="s">
        <v>889</v>
      </c>
      <c r="D27" s="66" t="s">
        <v>890</v>
      </c>
      <c r="E27" s="66" t="s">
        <v>950</v>
      </c>
      <c r="F27" s="67" t="s">
        <v>951</v>
      </c>
      <c r="G27" s="66" t="s">
        <v>952</v>
      </c>
      <c r="H27" s="66" t="s">
        <v>953</v>
      </c>
      <c r="I27" s="67">
        <v>16101</v>
      </c>
      <c r="J27" s="67"/>
      <c r="K27" s="70" t="s">
        <v>113</v>
      </c>
      <c r="L27" s="160"/>
      <c r="M27" s="160"/>
      <c r="N27" s="160"/>
      <c r="O27" s="161" t="s">
        <v>953</v>
      </c>
      <c r="R27" s="114"/>
      <c r="S27" s="115">
        <f t="shared" si="0"/>
        <v>0</v>
      </c>
      <c r="U27" s="153"/>
      <c r="V27" s="104">
        <f t="shared" si="1"/>
        <v>0</v>
      </c>
      <c r="W27" s="118">
        <f t="shared" si="2"/>
        <v>0</v>
      </c>
      <c r="X27" s="106">
        <f t="shared" si="3"/>
        <v>0</v>
      </c>
    </row>
    <row r="28" spans="1:24" ht="15" customHeight="1" x14ac:dyDescent="0.25">
      <c r="A28" s="154" t="s">
        <v>918</v>
      </c>
      <c r="B28" s="69" t="s">
        <v>919</v>
      </c>
      <c r="C28" s="69" t="s">
        <v>889</v>
      </c>
      <c r="D28" s="66" t="s">
        <v>890</v>
      </c>
      <c r="E28" s="66" t="s">
        <v>954</v>
      </c>
      <c r="F28" s="67" t="s">
        <v>955</v>
      </c>
      <c r="G28" s="66" t="s">
        <v>952</v>
      </c>
      <c r="H28" s="66" t="s">
        <v>953</v>
      </c>
      <c r="I28" s="67">
        <v>27270</v>
      </c>
      <c r="J28" s="67"/>
      <c r="K28" s="70" t="s">
        <v>113</v>
      </c>
      <c r="L28" s="164"/>
      <c r="M28" s="164"/>
      <c r="N28" s="164"/>
      <c r="O28" s="162" t="s">
        <v>953</v>
      </c>
      <c r="R28" s="145"/>
      <c r="S28" s="115">
        <f t="shared" si="0"/>
        <v>0</v>
      </c>
    </row>
    <row r="29" spans="1:24" ht="15" customHeight="1" x14ac:dyDescent="0.25">
      <c r="A29" s="154" t="s">
        <v>918</v>
      </c>
      <c r="B29" s="69" t="s">
        <v>919</v>
      </c>
      <c r="C29" s="69" t="s">
        <v>889</v>
      </c>
      <c r="D29" s="66" t="s">
        <v>890</v>
      </c>
      <c r="E29" s="66" t="s">
        <v>956</v>
      </c>
      <c r="F29" s="67" t="s">
        <v>957</v>
      </c>
      <c r="G29" s="66" t="s">
        <v>952</v>
      </c>
      <c r="H29" s="66" t="s">
        <v>953</v>
      </c>
      <c r="I29" s="67">
        <v>355</v>
      </c>
      <c r="J29" s="67"/>
      <c r="K29" s="70" t="s">
        <v>113</v>
      </c>
      <c r="L29" s="160"/>
      <c r="M29" s="160"/>
      <c r="N29" s="160"/>
      <c r="O29" s="161" t="s">
        <v>953</v>
      </c>
    </row>
    <row r="30" spans="1:24" ht="15" customHeight="1" x14ac:dyDescent="0.25">
      <c r="A30" s="154" t="s">
        <v>918</v>
      </c>
      <c r="B30" s="69" t="s">
        <v>919</v>
      </c>
      <c r="C30" s="69" t="s">
        <v>889</v>
      </c>
      <c r="D30" s="66" t="s">
        <v>890</v>
      </c>
      <c r="E30" s="66" t="s">
        <v>879</v>
      </c>
      <c r="F30" s="67" t="s">
        <v>880</v>
      </c>
      <c r="G30" s="66" t="s">
        <v>952</v>
      </c>
      <c r="H30" s="66" t="s">
        <v>953</v>
      </c>
      <c r="I30" s="67">
        <v>2237</v>
      </c>
      <c r="J30" s="67"/>
      <c r="K30" s="70" t="s">
        <v>113</v>
      </c>
      <c r="L30" s="160"/>
      <c r="M30" s="160"/>
      <c r="N30" s="160"/>
      <c r="O30" s="162" t="s">
        <v>953</v>
      </c>
      <c r="R30" s="131" t="s">
        <v>118</v>
      </c>
      <c r="S30" s="130">
        <f>SUM(I4:I483)-SUM(S4:S28)</f>
        <v>0</v>
      </c>
    </row>
    <row r="31" spans="1:24" ht="15" customHeight="1" x14ac:dyDescent="0.25">
      <c r="A31" s="154" t="s">
        <v>918</v>
      </c>
      <c r="B31" s="69" t="s">
        <v>919</v>
      </c>
      <c r="C31" s="69" t="s">
        <v>889</v>
      </c>
      <c r="D31" s="66" t="s">
        <v>890</v>
      </c>
      <c r="E31" s="66" t="s">
        <v>958</v>
      </c>
      <c r="F31" s="67" t="s">
        <v>959</v>
      </c>
      <c r="G31" s="66" t="s">
        <v>952</v>
      </c>
      <c r="H31" s="66" t="s">
        <v>953</v>
      </c>
      <c r="I31" s="67">
        <v>70000</v>
      </c>
      <c r="J31" s="67"/>
      <c r="K31" s="70" t="s">
        <v>113</v>
      </c>
      <c r="L31" s="160"/>
      <c r="M31" s="160"/>
      <c r="N31" s="160"/>
      <c r="O31" s="161" t="s">
        <v>953</v>
      </c>
    </row>
    <row r="32" spans="1:24" ht="15" customHeight="1" x14ac:dyDescent="0.25">
      <c r="A32" s="154" t="s">
        <v>918</v>
      </c>
      <c r="B32" s="69" t="s">
        <v>919</v>
      </c>
      <c r="C32" s="69" t="s">
        <v>889</v>
      </c>
      <c r="D32" s="66" t="s">
        <v>890</v>
      </c>
      <c r="E32" s="66" t="s">
        <v>920</v>
      </c>
      <c r="F32" s="67" t="s">
        <v>921</v>
      </c>
      <c r="G32" s="66" t="s">
        <v>952</v>
      </c>
      <c r="H32" s="66" t="s">
        <v>953</v>
      </c>
      <c r="I32" s="67">
        <v>-140000</v>
      </c>
      <c r="J32" s="67"/>
      <c r="K32" s="70" t="s">
        <v>113</v>
      </c>
      <c r="L32" s="160"/>
      <c r="M32" s="160"/>
      <c r="N32" s="160"/>
      <c r="O32" s="162" t="s">
        <v>953</v>
      </c>
      <c r="R32" t="s">
        <v>735</v>
      </c>
      <c r="S32" s="133">
        <f>S11/'4. Selvkost og satser'!B43</f>
        <v>-117.77542033627189</v>
      </c>
    </row>
    <row r="33" spans="1:18" ht="15" customHeight="1" x14ac:dyDescent="0.25">
      <c r="A33" s="154" t="s">
        <v>918</v>
      </c>
      <c r="B33" s="69" t="s">
        <v>919</v>
      </c>
      <c r="C33" s="69" t="s">
        <v>889</v>
      </c>
      <c r="D33" s="66" t="s">
        <v>890</v>
      </c>
      <c r="E33" s="66" t="s">
        <v>887</v>
      </c>
      <c r="F33" s="67" t="s">
        <v>888</v>
      </c>
      <c r="G33" s="66" t="s">
        <v>952</v>
      </c>
      <c r="H33" s="66" t="s">
        <v>953</v>
      </c>
      <c r="I33" s="67">
        <v>-2237</v>
      </c>
      <c r="J33" s="67"/>
      <c r="K33" s="70" t="s">
        <v>113</v>
      </c>
      <c r="L33" s="160"/>
      <c r="M33" s="160"/>
      <c r="N33" s="160"/>
      <c r="O33" s="161" t="s">
        <v>953</v>
      </c>
      <c r="R33" t="s">
        <v>117</v>
      </c>
    </row>
    <row r="34" spans="1:18" ht="15" customHeight="1" x14ac:dyDescent="0.25">
      <c r="A34" s="154" t="s">
        <v>918</v>
      </c>
      <c r="B34" s="69" t="s">
        <v>919</v>
      </c>
      <c r="C34" s="69" t="s">
        <v>889</v>
      </c>
      <c r="D34" s="66" t="s">
        <v>890</v>
      </c>
      <c r="E34" s="66" t="s">
        <v>960</v>
      </c>
      <c r="F34" s="67" t="s">
        <v>961</v>
      </c>
      <c r="G34" s="66" t="s">
        <v>952</v>
      </c>
      <c r="H34" s="66" t="s">
        <v>953</v>
      </c>
      <c r="I34" s="67">
        <v>-223528</v>
      </c>
      <c r="J34" s="67"/>
      <c r="K34" s="70" t="s">
        <v>113</v>
      </c>
      <c r="L34" s="160"/>
      <c r="M34" s="160"/>
      <c r="N34" s="160"/>
      <c r="O34" s="162" t="s">
        <v>953</v>
      </c>
    </row>
    <row r="35" spans="1:18" ht="15" customHeight="1" x14ac:dyDescent="0.25">
      <c r="A35" s="154" t="s">
        <v>918</v>
      </c>
      <c r="B35" s="69" t="s">
        <v>919</v>
      </c>
      <c r="C35" s="69" t="s">
        <v>889</v>
      </c>
      <c r="D35" s="66" t="s">
        <v>890</v>
      </c>
      <c r="E35" s="66" t="s">
        <v>962</v>
      </c>
      <c r="F35" s="67" t="s">
        <v>963</v>
      </c>
      <c r="G35" s="66" t="s">
        <v>952</v>
      </c>
      <c r="H35" s="66" t="s">
        <v>953</v>
      </c>
      <c r="I35" s="67">
        <v>-245000</v>
      </c>
      <c r="J35" s="67"/>
      <c r="K35" s="70" t="s">
        <v>113</v>
      </c>
      <c r="L35" s="160"/>
      <c r="M35" s="160"/>
      <c r="N35" s="160"/>
      <c r="O35" s="161" t="s">
        <v>953</v>
      </c>
    </row>
    <row r="36" spans="1:18" ht="15" customHeight="1" x14ac:dyDescent="0.25">
      <c r="A36" s="154" t="s">
        <v>918</v>
      </c>
      <c r="B36" s="66" t="s">
        <v>919</v>
      </c>
      <c r="C36" s="69" t="s">
        <v>889</v>
      </c>
      <c r="D36" s="66" t="s">
        <v>890</v>
      </c>
      <c r="E36" s="66" t="s">
        <v>954</v>
      </c>
      <c r="F36" s="68" t="s">
        <v>955</v>
      </c>
      <c r="G36" s="66" t="s">
        <v>970</v>
      </c>
      <c r="H36" s="66" t="s">
        <v>971</v>
      </c>
      <c r="I36" s="67">
        <v>3008</v>
      </c>
      <c r="J36" s="67"/>
      <c r="K36" s="70" t="s">
        <v>113</v>
      </c>
      <c r="L36" s="160"/>
      <c r="M36" s="160"/>
      <c r="N36" s="160"/>
      <c r="O36" s="161" t="s">
        <v>971</v>
      </c>
    </row>
    <row r="37" spans="1:18" ht="15" customHeight="1" x14ac:dyDescent="0.25">
      <c r="A37" s="154" t="s">
        <v>918</v>
      </c>
      <c r="B37" s="66" t="s">
        <v>919</v>
      </c>
      <c r="C37" s="69" t="s">
        <v>889</v>
      </c>
      <c r="D37" s="66" t="s">
        <v>890</v>
      </c>
      <c r="E37" s="66" t="s">
        <v>836</v>
      </c>
      <c r="F37" s="68" t="s">
        <v>837</v>
      </c>
      <c r="G37" s="66" t="s">
        <v>970</v>
      </c>
      <c r="H37" s="66" t="s">
        <v>971</v>
      </c>
      <c r="I37" s="67">
        <v>2870</v>
      </c>
      <c r="J37" s="67"/>
      <c r="K37" s="70" t="s">
        <v>113</v>
      </c>
      <c r="L37" s="160"/>
      <c r="M37" s="160"/>
      <c r="N37" s="160"/>
      <c r="O37" s="162" t="s">
        <v>971</v>
      </c>
    </row>
    <row r="38" spans="1:18" ht="15" customHeight="1" x14ac:dyDescent="0.25">
      <c r="A38" s="154" t="s">
        <v>918</v>
      </c>
      <c r="B38" s="66" t="s">
        <v>919</v>
      </c>
      <c r="C38" s="69" t="s">
        <v>889</v>
      </c>
      <c r="D38" s="66" t="s">
        <v>890</v>
      </c>
      <c r="E38" s="66" t="s">
        <v>920</v>
      </c>
      <c r="F38" s="68" t="s">
        <v>921</v>
      </c>
      <c r="G38" s="66" t="s">
        <v>974</v>
      </c>
      <c r="H38" s="66" t="s">
        <v>975</v>
      </c>
      <c r="I38" s="67">
        <v>-90304</v>
      </c>
      <c r="J38" s="67"/>
      <c r="K38" s="70" t="s">
        <v>113</v>
      </c>
      <c r="L38" s="160"/>
      <c r="M38" s="160"/>
      <c r="N38" s="160"/>
      <c r="O38" s="162" t="s">
        <v>975</v>
      </c>
    </row>
    <row r="39" spans="1:18" ht="15" customHeight="1" x14ac:dyDescent="0.25">
      <c r="A39" s="154" t="s">
        <v>918</v>
      </c>
      <c r="B39" s="66" t="s">
        <v>919</v>
      </c>
      <c r="C39" s="69" t="s">
        <v>889</v>
      </c>
      <c r="D39" s="66" t="s">
        <v>890</v>
      </c>
      <c r="E39" s="66" t="s">
        <v>940</v>
      </c>
      <c r="F39" s="68" t="s">
        <v>941</v>
      </c>
      <c r="G39" s="66" t="s">
        <v>978</v>
      </c>
      <c r="H39" s="66" t="s">
        <v>979</v>
      </c>
      <c r="I39" s="67">
        <v>34956</v>
      </c>
      <c r="J39" s="67"/>
      <c r="K39" s="70" t="s">
        <v>111</v>
      </c>
      <c r="L39" s="160"/>
      <c r="M39" s="160"/>
      <c r="N39" s="160"/>
      <c r="O39" s="161"/>
    </row>
    <row r="40" spans="1:18" ht="15" customHeight="1" x14ac:dyDescent="0.25">
      <c r="A40" s="154" t="s">
        <v>918</v>
      </c>
      <c r="B40" s="69" t="s">
        <v>919</v>
      </c>
      <c r="C40" s="69" t="s">
        <v>889</v>
      </c>
      <c r="D40" s="66" t="s">
        <v>890</v>
      </c>
      <c r="E40" s="66" t="s">
        <v>940</v>
      </c>
      <c r="F40" s="68" t="s">
        <v>941</v>
      </c>
      <c r="G40" s="66" t="s">
        <v>932</v>
      </c>
      <c r="H40" s="66" t="s">
        <v>986</v>
      </c>
      <c r="I40" s="67">
        <v>156870</v>
      </c>
      <c r="J40" s="67"/>
      <c r="K40" s="70" t="s">
        <v>111</v>
      </c>
      <c r="L40" s="160"/>
      <c r="M40" s="160"/>
      <c r="N40" s="160"/>
      <c r="O40" s="162"/>
    </row>
    <row r="41" spans="1:18" ht="15" customHeight="1" x14ac:dyDescent="0.25">
      <c r="A41" s="154" t="s">
        <v>918</v>
      </c>
      <c r="B41" s="66" t="s">
        <v>919</v>
      </c>
      <c r="C41" s="69" t="s">
        <v>889</v>
      </c>
      <c r="D41" s="66" t="s">
        <v>890</v>
      </c>
      <c r="E41" s="66" t="s">
        <v>893</v>
      </c>
      <c r="F41" s="68" t="s">
        <v>894</v>
      </c>
      <c r="G41" s="66" t="s">
        <v>801</v>
      </c>
      <c r="H41" s="66" t="s">
        <v>802</v>
      </c>
      <c r="I41" s="67">
        <v>204559</v>
      </c>
      <c r="J41" s="67"/>
      <c r="K41" s="70" t="s">
        <v>106</v>
      </c>
      <c r="L41" s="160"/>
      <c r="M41" s="160"/>
      <c r="N41" s="160"/>
      <c r="O41" s="162"/>
    </row>
    <row r="42" spans="1:18" ht="15" customHeight="1" x14ac:dyDescent="0.25">
      <c r="A42" s="154" t="s">
        <v>918</v>
      </c>
      <c r="B42" s="66" t="s">
        <v>919</v>
      </c>
      <c r="C42" s="69" t="s">
        <v>889</v>
      </c>
      <c r="D42" s="66" t="s">
        <v>890</v>
      </c>
      <c r="E42" s="66" t="s">
        <v>807</v>
      </c>
      <c r="F42" s="68" t="s">
        <v>808</v>
      </c>
      <c r="G42" s="66" t="s">
        <v>801</v>
      </c>
      <c r="H42" s="66" t="s">
        <v>802</v>
      </c>
      <c r="I42" s="67">
        <v>31863</v>
      </c>
      <c r="J42" s="67"/>
      <c r="K42" s="70" t="s">
        <v>106</v>
      </c>
      <c r="L42" s="160"/>
      <c r="M42" s="160"/>
      <c r="N42" s="160"/>
      <c r="O42" s="161"/>
    </row>
    <row r="43" spans="1:18" ht="15" customHeight="1" x14ac:dyDescent="0.25">
      <c r="A43" s="154" t="s">
        <v>918</v>
      </c>
      <c r="B43" s="66" t="s">
        <v>919</v>
      </c>
      <c r="C43" s="69" t="s">
        <v>889</v>
      </c>
      <c r="D43" s="66" t="s">
        <v>890</v>
      </c>
      <c r="E43" s="66" t="s">
        <v>813</v>
      </c>
      <c r="F43" s="68" t="s">
        <v>814</v>
      </c>
      <c r="G43" s="66" t="s">
        <v>801</v>
      </c>
      <c r="H43" s="66" t="s">
        <v>802</v>
      </c>
      <c r="I43" s="67">
        <v>152</v>
      </c>
      <c r="J43" s="67"/>
      <c r="K43" s="70" t="s">
        <v>106</v>
      </c>
      <c r="L43" s="160"/>
      <c r="M43" s="160"/>
      <c r="N43" s="160"/>
      <c r="O43" s="162"/>
    </row>
    <row r="44" spans="1:18" ht="15" customHeight="1" x14ac:dyDescent="0.25">
      <c r="A44" s="154" t="s">
        <v>918</v>
      </c>
      <c r="B44" s="66" t="s">
        <v>919</v>
      </c>
      <c r="C44" s="69" t="s">
        <v>889</v>
      </c>
      <c r="D44" s="66" t="s">
        <v>890</v>
      </c>
      <c r="E44" s="66" t="s">
        <v>815</v>
      </c>
      <c r="F44" s="68" t="s">
        <v>141</v>
      </c>
      <c r="G44" s="66" t="s">
        <v>801</v>
      </c>
      <c r="H44" s="66" t="s">
        <v>802</v>
      </c>
      <c r="I44" s="67">
        <v>33357</v>
      </c>
      <c r="J44" s="67"/>
      <c r="K44" s="70" t="s">
        <v>106</v>
      </c>
      <c r="L44" s="160"/>
      <c r="M44" s="160"/>
      <c r="N44" s="160"/>
      <c r="O44" s="161"/>
    </row>
    <row r="45" spans="1:18" ht="15" customHeight="1" x14ac:dyDescent="0.25">
      <c r="A45" s="154" t="s">
        <v>918</v>
      </c>
      <c r="B45" s="66" t="s">
        <v>919</v>
      </c>
      <c r="C45" s="69" t="s">
        <v>889</v>
      </c>
      <c r="D45" s="66" t="s">
        <v>890</v>
      </c>
      <c r="E45" s="66" t="s">
        <v>954</v>
      </c>
      <c r="F45" s="68" t="s">
        <v>955</v>
      </c>
      <c r="G45" s="66" t="s">
        <v>801</v>
      </c>
      <c r="H45" s="66" t="s">
        <v>802</v>
      </c>
      <c r="I45" s="67">
        <v>940</v>
      </c>
      <c r="J45" s="67"/>
      <c r="K45" s="70" t="s">
        <v>106</v>
      </c>
      <c r="L45" s="160"/>
      <c r="M45" s="160"/>
      <c r="N45" s="160"/>
      <c r="O45" s="162"/>
    </row>
    <row r="46" spans="1:18" ht="15" customHeight="1" x14ac:dyDescent="0.25">
      <c r="A46" s="154" t="s">
        <v>918</v>
      </c>
      <c r="B46" s="66" t="s">
        <v>919</v>
      </c>
      <c r="C46" s="69" t="s">
        <v>889</v>
      </c>
      <c r="D46" s="66" t="s">
        <v>890</v>
      </c>
      <c r="E46" s="66" t="s">
        <v>836</v>
      </c>
      <c r="F46" s="68" t="s">
        <v>837</v>
      </c>
      <c r="G46" s="66" t="s">
        <v>801</v>
      </c>
      <c r="H46" s="66" t="s">
        <v>802</v>
      </c>
      <c r="I46" s="67">
        <v>6090</v>
      </c>
      <c r="J46" s="67"/>
      <c r="K46" s="70" t="s">
        <v>106</v>
      </c>
      <c r="L46" s="160"/>
      <c r="M46" s="160"/>
      <c r="N46" s="160"/>
      <c r="O46" s="161"/>
    </row>
    <row r="47" spans="1:18" ht="15" customHeight="1" x14ac:dyDescent="0.25">
      <c r="A47" s="154" t="s">
        <v>918</v>
      </c>
      <c r="B47" s="66" t="s">
        <v>919</v>
      </c>
      <c r="C47" s="69" t="s">
        <v>889</v>
      </c>
      <c r="D47" s="66" t="s">
        <v>890</v>
      </c>
      <c r="E47" s="66" t="s">
        <v>994</v>
      </c>
      <c r="F47" s="68" t="s">
        <v>995</v>
      </c>
      <c r="G47" s="66" t="s">
        <v>801</v>
      </c>
      <c r="H47" s="66" t="s">
        <v>802</v>
      </c>
      <c r="I47" s="67">
        <v>172003</v>
      </c>
      <c r="J47" s="67"/>
      <c r="K47" s="70" t="s">
        <v>106</v>
      </c>
      <c r="L47" s="160"/>
      <c r="M47" s="160"/>
      <c r="N47" s="160"/>
      <c r="O47" s="162"/>
    </row>
    <row r="48" spans="1:18" ht="15" customHeight="1" x14ac:dyDescent="0.25">
      <c r="A48" s="180" t="s">
        <v>918</v>
      </c>
      <c r="B48" s="182" t="s">
        <v>919</v>
      </c>
      <c r="C48" s="181" t="s">
        <v>889</v>
      </c>
      <c r="D48" s="182" t="s">
        <v>890</v>
      </c>
      <c r="E48" s="182" t="s">
        <v>863</v>
      </c>
      <c r="F48" s="183" t="s">
        <v>864</v>
      </c>
      <c r="G48" s="182" t="s">
        <v>801</v>
      </c>
      <c r="H48" s="182" t="s">
        <v>802</v>
      </c>
      <c r="I48" s="184">
        <v>64297</v>
      </c>
      <c r="J48" s="184"/>
      <c r="K48" s="185" t="s">
        <v>107</v>
      </c>
      <c r="L48" s="186"/>
      <c r="M48" s="186"/>
      <c r="N48" s="186"/>
      <c r="O48" s="187" t="s">
        <v>1028</v>
      </c>
    </row>
    <row r="49" spans="1:15" ht="15" customHeight="1" x14ac:dyDescent="0.25">
      <c r="A49" s="154" t="s">
        <v>918</v>
      </c>
      <c r="B49" s="66" t="s">
        <v>919</v>
      </c>
      <c r="C49" s="69" t="s">
        <v>889</v>
      </c>
      <c r="D49" s="66" t="s">
        <v>890</v>
      </c>
      <c r="E49" s="66" t="s">
        <v>877</v>
      </c>
      <c r="F49" s="68" t="s">
        <v>878</v>
      </c>
      <c r="G49" s="66" t="s">
        <v>801</v>
      </c>
      <c r="H49" s="66" t="s">
        <v>802</v>
      </c>
      <c r="I49" s="67">
        <v>954</v>
      </c>
      <c r="J49" s="67"/>
      <c r="K49" s="70" t="s">
        <v>106</v>
      </c>
      <c r="L49" s="160"/>
      <c r="M49" s="160"/>
      <c r="N49" s="160"/>
      <c r="O49" s="162"/>
    </row>
    <row r="50" spans="1:15" ht="15" customHeight="1" x14ac:dyDescent="0.25">
      <c r="A50" s="154" t="s">
        <v>918</v>
      </c>
      <c r="B50" s="66" t="s">
        <v>919</v>
      </c>
      <c r="C50" s="69" t="s">
        <v>889</v>
      </c>
      <c r="D50" s="66" t="s">
        <v>890</v>
      </c>
      <c r="E50" s="66" t="s">
        <v>996</v>
      </c>
      <c r="F50" s="68" t="s">
        <v>997</v>
      </c>
      <c r="G50" s="66" t="s">
        <v>801</v>
      </c>
      <c r="H50" s="66" t="s">
        <v>802</v>
      </c>
      <c r="I50" s="67">
        <v>387466</v>
      </c>
      <c r="J50" s="67"/>
      <c r="K50" s="70" t="s">
        <v>106</v>
      </c>
      <c r="L50" s="160"/>
      <c r="M50" s="160"/>
      <c r="N50" s="160"/>
      <c r="O50" s="161"/>
    </row>
    <row r="51" spans="1:15" ht="15" customHeight="1" x14ac:dyDescent="0.25">
      <c r="A51" s="154" t="s">
        <v>918</v>
      </c>
      <c r="B51" s="66" t="s">
        <v>919</v>
      </c>
      <c r="C51" s="69" t="s">
        <v>889</v>
      </c>
      <c r="D51" s="66" t="s">
        <v>890</v>
      </c>
      <c r="E51" s="66" t="s">
        <v>879</v>
      </c>
      <c r="F51" s="68" t="s">
        <v>880</v>
      </c>
      <c r="G51" s="66" t="s">
        <v>801</v>
      </c>
      <c r="H51" s="66" t="s">
        <v>802</v>
      </c>
      <c r="I51" s="67">
        <v>15889</v>
      </c>
      <c r="J51" s="67"/>
      <c r="K51" s="70" t="s">
        <v>106</v>
      </c>
      <c r="L51" s="160"/>
      <c r="M51" s="160"/>
      <c r="N51" s="160"/>
      <c r="O51" s="162"/>
    </row>
    <row r="52" spans="1:15" ht="15" customHeight="1" x14ac:dyDescent="0.25">
      <c r="A52" s="154" t="s">
        <v>918</v>
      </c>
      <c r="B52" s="66" t="s">
        <v>919</v>
      </c>
      <c r="C52" s="69" t="s">
        <v>889</v>
      </c>
      <c r="D52" s="66" t="s">
        <v>890</v>
      </c>
      <c r="E52" s="66" t="s">
        <v>887</v>
      </c>
      <c r="F52" s="68" t="s">
        <v>888</v>
      </c>
      <c r="G52" s="66" t="s">
        <v>801</v>
      </c>
      <c r="H52" s="66" t="s">
        <v>802</v>
      </c>
      <c r="I52" s="67">
        <v>-15889</v>
      </c>
      <c r="J52" s="67"/>
      <c r="K52" s="70" t="s">
        <v>106</v>
      </c>
      <c r="L52" s="160"/>
      <c r="M52" s="160"/>
      <c r="N52" s="160"/>
      <c r="O52" s="161"/>
    </row>
    <row r="53" spans="1:15" ht="15" customHeight="1" x14ac:dyDescent="0.25">
      <c r="A53" s="154" t="s">
        <v>918</v>
      </c>
      <c r="B53" s="66" t="s">
        <v>919</v>
      </c>
      <c r="C53" s="69" t="s">
        <v>889</v>
      </c>
      <c r="D53" s="66" t="s">
        <v>890</v>
      </c>
      <c r="E53" s="66" t="s">
        <v>962</v>
      </c>
      <c r="F53" s="68" t="s">
        <v>963</v>
      </c>
      <c r="G53" s="66" t="s">
        <v>801</v>
      </c>
      <c r="H53" s="66" t="s">
        <v>802</v>
      </c>
      <c r="I53" s="67">
        <v>-550096</v>
      </c>
      <c r="J53" s="67"/>
      <c r="K53" s="70" t="s">
        <v>106</v>
      </c>
      <c r="L53" s="160"/>
      <c r="M53" s="160"/>
      <c r="N53" s="160"/>
      <c r="O53" s="162"/>
    </row>
    <row r="54" spans="1:15" ht="15" customHeight="1" x14ac:dyDescent="0.25">
      <c r="A54" s="154" t="s">
        <v>932</v>
      </c>
      <c r="B54" s="69" t="s">
        <v>933</v>
      </c>
      <c r="C54" s="69" t="s">
        <v>889</v>
      </c>
      <c r="D54" s="66" t="s">
        <v>890</v>
      </c>
      <c r="E54" s="66" t="s">
        <v>934</v>
      </c>
      <c r="F54" s="67" t="s">
        <v>935</v>
      </c>
      <c r="G54" s="66" t="s">
        <v>930</v>
      </c>
      <c r="H54" s="66" t="s">
        <v>931</v>
      </c>
      <c r="I54" s="67">
        <v>62900</v>
      </c>
      <c r="J54" s="67"/>
      <c r="K54" s="70" t="s">
        <v>113</v>
      </c>
      <c r="L54" s="160"/>
      <c r="M54" s="160"/>
      <c r="N54" s="160"/>
      <c r="O54" s="161" t="s">
        <v>931</v>
      </c>
    </row>
    <row r="55" spans="1:15" ht="15" customHeight="1" x14ac:dyDescent="0.25">
      <c r="A55" s="154" t="s">
        <v>932</v>
      </c>
      <c r="B55" s="69" t="s">
        <v>933</v>
      </c>
      <c r="C55" s="69" t="s">
        <v>889</v>
      </c>
      <c r="D55" s="66" t="s">
        <v>890</v>
      </c>
      <c r="E55" s="66" t="s">
        <v>928</v>
      </c>
      <c r="F55" s="67" t="s">
        <v>929</v>
      </c>
      <c r="G55" s="66" t="s">
        <v>952</v>
      </c>
      <c r="H55" s="66" t="s">
        <v>953</v>
      </c>
      <c r="I55" s="67">
        <v>86945</v>
      </c>
      <c r="J55" s="67"/>
      <c r="K55" s="70" t="s">
        <v>113</v>
      </c>
      <c r="L55" s="160"/>
      <c r="M55" s="160"/>
      <c r="N55" s="160"/>
      <c r="O55" s="162" t="s">
        <v>953</v>
      </c>
    </row>
    <row r="56" spans="1:15" ht="15" customHeight="1" x14ac:dyDescent="0.25">
      <c r="A56" s="154" t="s">
        <v>932</v>
      </c>
      <c r="B56" s="69" t="s">
        <v>933</v>
      </c>
      <c r="C56" s="69" t="s">
        <v>889</v>
      </c>
      <c r="D56" s="66" t="s">
        <v>890</v>
      </c>
      <c r="E56" s="66" t="s">
        <v>958</v>
      </c>
      <c r="F56" s="67" t="s">
        <v>959</v>
      </c>
      <c r="G56" s="66" t="s">
        <v>952</v>
      </c>
      <c r="H56" s="66" t="s">
        <v>953</v>
      </c>
      <c r="I56" s="67">
        <v>140000</v>
      </c>
      <c r="J56" s="67"/>
      <c r="K56" s="70" t="s">
        <v>113</v>
      </c>
      <c r="L56" s="160"/>
      <c r="M56" s="160"/>
      <c r="N56" s="160"/>
      <c r="O56" s="161" t="s">
        <v>953</v>
      </c>
    </row>
    <row r="57" spans="1:15" ht="15" customHeight="1" x14ac:dyDescent="0.25">
      <c r="A57" s="154" t="s">
        <v>932</v>
      </c>
      <c r="B57" s="66" t="s">
        <v>933</v>
      </c>
      <c r="C57" s="69" t="s">
        <v>889</v>
      </c>
      <c r="D57" s="66" t="s">
        <v>890</v>
      </c>
      <c r="E57" s="66" t="s">
        <v>928</v>
      </c>
      <c r="F57" s="68" t="s">
        <v>929</v>
      </c>
      <c r="G57" s="66" t="s">
        <v>974</v>
      </c>
      <c r="H57" s="66" t="s">
        <v>975</v>
      </c>
      <c r="I57" s="67">
        <v>90304</v>
      </c>
      <c r="J57" s="67"/>
      <c r="K57" s="70" t="s">
        <v>113</v>
      </c>
      <c r="L57" s="160"/>
      <c r="M57" s="160"/>
      <c r="N57" s="160"/>
      <c r="O57" s="161" t="s">
        <v>975</v>
      </c>
    </row>
    <row r="58" spans="1:15" ht="15" customHeight="1" x14ac:dyDescent="0.25">
      <c r="A58" s="154" t="s">
        <v>932</v>
      </c>
      <c r="B58" s="66" t="s">
        <v>933</v>
      </c>
      <c r="C58" s="69" t="s">
        <v>889</v>
      </c>
      <c r="D58" s="66" t="s">
        <v>890</v>
      </c>
      <c r="E58" s="66" t="s">
        <v>928</v>
      </c>
      <c r="F58" s="68" t="s">
        <v>929</v>
      </c>
      <c r="G58" s="66" t="s">
        <v>976</v>
      </c>
      <c r="H58" s="66" t="s">
        <v>977</v>
      </c>
      <c r="I58" s="67">
        <v>9954</v>
      </c>
      <c r="J58" s="67"/>
      <c r="K58" s="70" t="s">
        <v>111</v>
      </c>
      <c r="L58" s="160"/>
      <c r="M58" s="160"/>
      <c r="N58" s="160"/>
      <c r="O58" s="162"/>
    </row>
    <row r="59" spans="1:15" ht="15" customHeight="1" x14ac:dyDescent="0.25">
      <c r="A59" s="154" t="s">
        <v>932</v>
      </c>
      <c r="B59" s="66" t="s">
        <v>933</v>
      </c>
      <c r="C59" s="69" t="s">
        <v>889</v>
      </c>
      <c r="D59" s="66" t="s">
        <v>890</v>
      </c>
      <c r="E59" s="66" t="s">
        <v>928</v>
      </c>
      <c r="F59" s="68" t="s">
        <v>929</v>
      </c>
      <c r="G59" s="66" t="s">
        <v>978</v>
      </c>
      <c r="H59" s="66" t="s">
        <v>979</v>
      </c>
      <c r="I59" s="67">
        <v>89513</v>
      </c>
      <c r="J59" s="67"/>
      <c r="K59" s="70" t="s">
        <v>111</v>
      </c>
      <c r="L59" s="160"/>
      <c r="M59" s="160"/>
      <c r="N59" s="160"/>
      <c r="O59" s="162"/>
    </row>
    <row r="60" spans="1:15" ht="15" customHeight="1" x14ac:dyDescent="0.25">
      <c r="A60" s="154" t="s">
        <v>932</v>
      </c>
      <c r="B60" s="69" t="s">
        <v>933</v>
      </c>
      <c r="C60" s="69" t="s">
        <v>889</v>
      </c>
      <c r="D60" s="66" t="s">
        <v>890</v>
      </c>
      <c r="E60" s="66" t="s">
        <v>928</v>
      </c>
      <c r="F60" s="68" t="s">
        <v>929</v>
      </c>
      <c r="G60" s="66" t="s">
        <v>932</v>
      </c>
      <c r="H60" s="66" t="s">
        <v>986</v>
      </c>
      <c r="I60" s="67">
        <v>220401</v>
      </c>
      <c r="J60" s="67"/>
      <c r="K60" s="70" t="s">
        <v>111</v>
      </c>
      <c r="L60" s="160"/>
      <c r="M60" s="160"/>
      <c r="N60" s="160"/>
      <c r="O60" s="161"/>
    </row>
    <row r="61" spans="1:15" ht="15" customHeight="1" x14ac:dyDescent="0.25">
      <c r="A61" s="154" t="s">
        <v>932</v>
      </c>
      <c r="B61" s="66" t="s">
        <v>933</v>
      </c>
      <c r="C61" s="69" t="s">
        <v>889</v>
      </c>
      <c r="D61" s="66" t="s">
        <v>890</v>
      </c>
      <c r="E61" s="66" t="s">
        <v>996</v>
      </c>
      <c r="F61" s="68" t="s">
        <v>997</v>
      </c>
      <c r="G61" s="66" t="s">
        <v>801</v>
      </c>
      <c r="H61" s="66" t="s">
        <v>802</v>
      </c>
      <c r="I61" s="67">
        <v>471146</v>
      </c>
      <c r="J61" s="67"/>
      <c r="K61" s="70" t="s">
        <v>112</v>
      </c>
      <c r="L61" s="160"/>
      <c r="M61" s="160"/>
      <c r="N61" s="160"/>
      <c r="O61" s="161"/>
    </row>
    <row r="62" spans="1:15" ht="15" customHeight="1" x14ac:dyDescent="0.25">
      <c r="A62" s="154" t="s">
        <v>932</v>
      </c>
      <c r="B62" s="66" t="s">
        <v>933</v>
      </c>
      <c r="C62" s="69" t="s">
        <v>889</v>
      </c>
      <c r="D62" s="66" t="s">
        <v>890</v>
      </c>
      <c r="E62" s="66" t="s">
        <v>928</v>
      </c>
      <c r="F62" s="68" t="s">
        <v>929</v>
      </c>
      <c r="G62" s="66" t="s">
        <v>801</v>
      </c>
      <c r="H62" s="66" t="s">
        <v>802</v>
      </c>
      <c r="I62" s="67">
        <v>100366</v>
      </c>
      <c r="J62" s="67"/>
      <c r="K62" s="70" t="s">
        <v>112</v>
      </c>
      <c r="L62" s="160"/>
      <c r="M62" s="160"/>
      <c r="N62" s="160"/>
      <c r="O62" s="162"/>
    </row>
    <row r="63" spans="1:15" ht="15" customHeight="1" x14ac:dyDescent="0.25">
      <c r="A63" s="154" t="s">
        <v>932</v>
      </c>
      <c r="B63" s="66" t="s">
        <v>933</v>
      </c>
      <c r="C63" s="69" t="s">
        <v>889</v>
      </c>
      <c r="D63" s="66" t="s">
        <v>890</v>
      </c>
      <c r="E63" s="66" t="s">
        <v>934</v>
      </c>
      <c r="F63" s="68" t="s">
        <v>935</v>
      </c>
      <c r="G63" s="66" t="s">
        <v>801</v>
      </c>
      <c r="H63" s="66" t="s">
        <v>802</v>
      </c>
      <c r="I63" s="67">
        <v>56314050</v>
      </c>
      <c r="J63" s="67"/>
      <c r="K63" s="70" t="s">
        <v>112</v>
      </c>
      <c r="L63" s="160"/>
      <c r="M63" s="160"/>
      <c r="N63" s="160"/>
      <c r="O63" s="161"/>
    </row>
    <row r="64" spans="1:15" ht="15" customHeight="1" x14ac:dyDescent="0.25">
      <c r="A64" s="154" t="s">
        <v>844</v>
      </c>
      <c r="B64" s="69" t="s">
        <v>845</v>
      </c>
      <c r="C64" s="69" t="s">
        <v>889</v>
      </c>
      <c r="D64" s="66" t="s">
        <v>890</v>
      </c>
      <c r="E64" s="66" t="s">
        <v>893</v>
      </c>
      <c r="F64" s="67" t="s">
        <v>894</v>
      </c>
      <c r="G64" s="66" t="s">
        <v>844</v>
      </c>
      <c r="H64" s="66" t="s">
        <v>895</v>
      </c>
      <c r="I64" s="67">
        <v>100248</v>
      </c>
      <c r="J64" s="67"/>
      <c r="K64" s="70" t="s">
        <v>113</v>
      </c>
      <c r="L64" s="160"/>
      <c r="M64" s="160"/>
      <c r="N64" s="160"/>
      <c r="O64" s="162" t="s">
        <v>895</v>
      </c>
    </row>
    <row r="65" spans="1:15" ht="15" customHeight="1" x14ac:dyDescent="0.25">
      <c r="A65" s="154" t="s">
        <v>844</v>
      </c>
      <c r="B65" s="69" t="s">
        <v>845</v>
      </c>
      <c r="C65" s="69" t="s">
        <v>889</v>
      </c>
      <c r="D65" s="66" t="s">
        <v>890</v>
      </c>
      <c r="E65" s="66" t="s">
        <v>896</v>
      </c>
      <c r="F65" s="67" t="s">
        <v>897</v>
      </c>
      <c r="G65" s="66" t="s">
        <v>844</v>
      </c>
      <c r="H65" s="66" t="s">
        <v>895</v>
      </c>
      <c r="I65" s="67">
        <v>2918</v>
      </c>
      <c r="J65" s="67"/>
      <c r="K65" s="70" t="s">
        <v>113</v>
      </c>
      <c r="L65" s="160"/>
      <c r="M65" s="160"/>
      <c r="N65" s="160"/>
      <c r="O65" s="161" t="s">
        <v>895</v>
      </c>
    </row>
    <row r="66" spans="1:15" ht="15" customHeight="1" x14ac:dyDescent="0.25">
      <c r="A66" s="154" t="s">
        <v>844</v>
      </c>
      <c r="B66" s="69" t="s">
        <v>845</v>
      </c>
      <c r="C66" s="69" t="s">
        <v>889</v>
      </c>
      <c r="D66" s="66" t="s">
        <v>890</v>
      </c>
      <c r="E66" s="66" t="s">
        <v>898</v>
      </c>
      <c r="F66" s="67" t="s">
        <v>899</v>
      </c>
      <c r="G66" s="66" t="s">
        <v>844</v>
      </c>
      <c r="H66" s="66" t="s">
        <v>895</v>
      </c>
      <c r="I66" s="67">
        <v>8363</v>
      </c>
      <c r="J66" s="67"/>
      <c r="K66" s="70" t="s">
        <v>113</v>
      </c>
      <c r="L66" s="160"/>
      <c r="M66" s="160"/>
      <c r="N66" s="160"/>
      <c r="O66" s="162" t="s">
        <v>895</v>
      </c>
    </row>
    <row r="67" spans="1:15" ht="15" customHeight="1" x14ac:dyDescent="0.25">
      <c r="A67" s="154" t="s">
        <v>844</v>
      </c>
      <c r="B67" s="69" t="s">
        <v>845</v>
      </c>
      <c r="C67" s="69" t="s">
        <v>889</v>
      </c>
      <c r="D67" s="66" t="s">
        <v>890</v>
      </c>
      <c r="E67" s="66" t="s">
        <v>900</v>
      </c>
      <c r="F67" s="67" t="s">
        <v>901</v>
      </c>
      <c r="G67" s="66" t="s">
        <v>844</v>
      </c>
      <c r="H67" s="66" t="s">
        <v>895</v>
      </c>
      <c r="I67" s="67">
        <v>1710</v>
      </c>
      <c r="J67" s="67"/>
      <c r="K67" s="70" t="s">
        <v>113</v>
      </c>
      <c r="L67" s="160"/>
      <c r="M67" s="160"/>
      <c r="N67" s="160"/>
      <c r="O67" s="161" t="s">
        <v>895</v>
      </c>
    </row>
    <row r="68" spans="1:15" ht="15" customHeight="1" x14ac:dyDescent="0.25">
      <c r="A68" s="154" t="s">
        <v>844</v>
      </c>
      <c r="B68" s="69" t="s">
        <v>845</v>
      </c>
      <c r="C68" s="69" t="s">
        <v>889</v>
      </c>
      <c r="D68" s="66" t="s">
        <v>890</v>
      </c>
      <c r="E68" s="66" t="s">
        <v>902</v>
      </c>
      <c r="F68" s="67" t="s">
        <v>903</v>
      </c>
      <c r="G68" s="66" t="s">
        <v>844</v>
      </c>
      <c r="H68" s="66" t="s">
        <v>895</v>
      </c>
      <c r="I68" s="67">
        <v>7009</v>
      </c>
      <c r="J68" s="67"/>
      <c r="K68" s="70" t="s">
        <v>113</v>
      </c>
      <c r="L68" s="160"/>
      <c r="M68" s="160"/>
      <c r="N68" s="160"/>
      <c r="O68" s="162" t="s">
        <v>895</v>
      </c>
    </row>
    <row r="69" spans="1:15" ht="15" customHeight="1" x14ac:dyDescent="0.25">
      <c r="A69" s="154" t="s">
        <v>844</v>
      </c>
      <c r="B69" s="69" t="s">
        <v>845</v>
      </c>
      <c r="C69" s="69" t="s">
        <v>889</v>
      </c>
      <c r="D69" s="66" t="s">
        <v>890</v>
      </c>
      <c r="E69" s="66" t="s">
        <v>904</v>
      </c>
      <c r="F69" s="67" t="s">
        <v>905</v>
      </c>
      <c r="G69" s="66" t="s">
        <v>844</v>
      </c>
      <c r="H69" s="66" t="s">
        <v>895</v>
      </c>
      <c r="I69" s="67">
        <v>218553</v>
      </c>
      <c r="J69" s="67"/>
      <c r="K69" s="70" t="s">
        <v>113</v>
      </c>
      <c r="L69" s="160"/>
      <c r="M69" s="160"/>
      <c r="N69" s="160"/>
      <c r="O69" s="161" t="s">
        <v>895</v>
      </c>
    </row>
    <row r="70" spans="1:15" ht="15" customHeight="1" x14ac:dyDescent="0.25">
      <c r="A70" s="154" t="s">
        <v>844</v>
      </c>
      <c r="B70" s="69" t="s">
        <v>845</v>
      </c>
      <c r="C70" s="69" t="s">
        <v>889</v>
      </c>
      <c r="D70" s="66" t="s">
        <v>890</v>
      </c>
      <c r="E70" s="66" t="s">
        <v>906</v>
      </c>
      <c r="F70" s="67" t="s">
        <v>907</v>
      </c>
      <c r="G70" s="66" t="s">
        <v>844</v>
      </c>
      <c r="H70" s="66" t="s">
        <v>895</v>
      </c>
      <c r="I70" s="67">
        <v>5854</v>
      </c>
      <c r="J70" s="67"/>
      <c r="K70" s="70" t="s">
        <v>113</v>
      </c>
      <c r="L70" s="160"/>
      <c r="M70" s="160"/>
      <c r="N70" s="160"/>
      <c r="O70" s="162" t="s">
        <v>895</v>
      </c>
    </row>
    <row r="71" spans="1:15" ht="15" customHeight="1" x14ac:dyDescent="0.25">
      <c r="A71" s="154" t="s">
        <v>844</v>
      </c>
      <c r="B71" s="69" t="s">
        <v>845</v>
      </c>
      <c r="C71" s="69" t="s">
        <v>889</v>
      </c>
      <c r="D71" s="66" t="s">
        <v>890</v>
      </c>
      <c r="E71" s="66" t="s">
        <v>908</v>
      </c>
      <c r="F71" s="67" t="s">
        <v>909</v>
      </c>
      <c r="G71" s="66" t="s">
        <v>844</v>
      </c>
      <c r="H71" s="66" t="s">
        <v>895</v>
      </c>
      <c r="I71" s="67">
        <v>8960</v>
      </c>
      <c r="J71" s="67"/>
      <c r="K71" s="70" t="s">
        <v>113</v>
      </c>
      <c r="L71" s="160"/>
      <c r="M71" s="160"/>
      <c r="N71" s="160"/>
      <c r="O71" s="161" t="s">
        <v>895</v>
      </c>
    </row>
    <row r="72" spans="1:15" ht="15" customHeight="1" x14ac:dyDescent="0.25">
      <c r="A72" s="154" t="s">
        <v>844</v>
      </c>
      <c r="B72" s="69" t="s">
        <v>845</v>
      </c>
      <c r="C72" s="69" t="s">
        <v>889</v>
      </c>
      <c r="D72" s="66" t="s">
        <v>890</v>
      </c>
      <c r="E72" s="66" t="s">
        <v>807</v>
      </c>
      <c r="F72" s="67" t="s">
        <v>808</v>
      </c>
      <c r="G72" s="66" t="s">
        <v>844</v>
      </c>
      <c r="H72" s="66" t="s">
        <v>895</v>
      </c>
      <c r="I72" s="67">
        <v>49985</v>
      </c>
      <c r="J72" s="67"/>
      <c r="K72" s="70" t="s">
        <v>113</v>
      </c>
      <c r="L72" s="160"/>
      <c r="M72" s="160"/>
      <c r="N72" s="160"/>
      <c r="O72" s="162" t="s">
        <v>895</v>
      </c>
    </row>
    <row r="73" spans="1:15" ht="15" customHeight="1" x14ac:dyDescent="0.25">
      <c r="A73" s="154" t="s">
        <v>844</v>
      </c>
      <c r="B73" s="69" t="s">
        <v>845</v>
      </c>
      <c r="C73" s="69" t="s">
        <v>889</v>
      </c>
      <c r="D73" s="66" t="s">
        <v>890</v>
      </c>
      <c r="E73" s="66" t="s">
        <v>815</v>
      </c>
      <c r="F73" s="67" t="s">
        <v>141</v>
      </c>
      <c r="G73" s="66" t="s">
        <v>844</v>
      </c>
      <c r="H73" s="66" t="s">
        <v>895</v>
      </c>
      <c r="I73" s="67">
        <v>56560</v>
      </c>
      <c r="J73" s="67"/>
      <c r="K73" s="70" t="s">
        <v>113</v>
      </c>
      <c r="L73" s="160"/>
      <c r="M73" s="160"/>
      <c r="N73" s="160"/>
      <c r="O73" s="161" t="s">
        <v>895</v>
      </c>
    </row>
    <row r="74" spans="1:15" ht="15" customHeight="1" x14ac:dyDescent="0.25">
      <c r="A74" s="154" t="s">
        <v>844</v>
      </c>
      <c r="B74" s="69" t="s">
        <v>845</v>
      </c>
      <c r="C74" s="69" t="s">
        <v>889</v>
      </c>
      <c r="D74" s="66" t="s">
        <v>890</v>
      </c>
      <c r="E74" s="66" t="s">
        <v>836</v>
      </c>
      <c r="F74" s="67" t="s">
        <v>837</v>
      </c>
      <c r="G74" s="66" t="s">
        <v>844</v>
      </c>
      <c r="H74" s="66" t="s">
        <v>895</v>
      </c>
      <c r="I74" s="67">
        <v>12420</v>
      </c>
      <c r="J74" s="67"/>
      <c r="K74" s="70" t="s">
        <v>113</v>
      </c>
      <c r="L74" s="160"/>
      <c r="M74" s="160"/>
      <c r="N74" s="160"/>
      <c r="O74" s="162" t="s">
        <v>895</v>
      </c>
    </row>
    <row r="75" spans="1:15" ht="15" customHeight="1" x14ac:dyDescent="0.25">
      <c r="A75" s="154" t="s">
        <v>844</v>
      </c>
      <c r="B75" s="69" t="s">
        <v>845</v>
      </c>
      <c r="C75" s="69" t="s">
        <v>889</v>
      </c>
      <c r="D75" s="66" t="s">
        <v>890</v>
      </c>
      <c r="E75" s="66" t="s">
        <v>910</v>
      </c>
      <c r="F75" s="67" t="s">
        <v>911</v>
      </c>
      <c r="G75" s="66" t="s">
        <v>844</v>
      </c>
      <c r="H75" s="66" t="s">
        <v>895</v>
      </c>
      <c r="I75" s="67">
        <v>536</v>
      </c>
      <c r="J75" s="67"/>
      <c r="K75" s="70" t="s">
        <v>113</v>
      </c>
      <c r="L75" s="160"/>
      <c r="M75" s="160"/>
      <c r="N75" s="160"/>
      <c r="O75" s="161" t="s">
        <v>895</v>
      </c>
    </row>
    <row r="76" spans="1:15" ht="15" customHeight="1" x14ac:dyDescent="0.25">
      <c r="A76" s="154" t="s">
        <v>844</v>
      </c>
      <c r="B76" s="69" t="s">
        <v>845</v>
      </c>
      <c r="C76" s="69" t="s">
        <v>889</v>
      </c>
      <c r="D76" s="66" t="s">
        <v>890</v>
      </c>
      <c r="E76" s="66" t="s">
        <v>912</v>
      </c>
      <c r="F76" s="67" t="s">
        <v>913</v>
      </c>
      <c r="G76" s="66" t="s">
        <v>844</v>
      </c>
      <c r="H76" s="66" t="s">
        <v>895</v>
      </c>
      <c r="I76" s="67">
        <v>13659</v>
      </c>
      <c r="J76" s="67"/>
      <c r="K76" s="70" t="s">
        <v>113</v>
      </c>
      <c r="L76" s="160"/>
      <c r="M76" s="160"/>
      <c r="N76" s="160"/>
      <c r="O76" s="162" t="s">
        <v>895</v>
      </c>
    </row>
    <row r="77" spans="1:15" ht="15" customHeight="1" x14ac:dyDescent="0.25">
      <c r="A77" s="154" t="s">
        <v>844</v>
      </c>
      <c r="B77" s="69" t="s">
        <v>845</v>
      </c>
      <c r="C77" s="69" t="s">
        <v>889</v>
      </c>
      <c r="D77" s="66" t="s">
        <v>890</v>
      </c>
      <c r="E77" s="66" t="s">
        <v>914</v>
      </c>
      <c r="F77" s="67" t="s">
        <v>915</v>
      </c>
      <c r="G77" s="66" t="s">
        <v>844</v>
      </c>
      <c r="H77" s="66" t="s">
        <v>895</v>
      </c>
      <c r="I77" s="67">
        <v>1784</v>
      </c>
      <c r="J77" s="67"/>
      <c r="K77" s="70" t="s">
        <v>113</v>
      </c>
      <c r="L77" s="160"/>
      <c r="M77" s="160"/>
      <c r="N77" s="160"/>
      <c r="O77" s="161" t="s">
        <v>895</v>
      </c>
    </row>
    <row r="78" spans="1:15" ht="15" customHeight="1" x14ac:dyDescent="0.25">
      <c r="A78" s="154" t="s">
        <v>844</v>
      </c>
      <c r="B78" s="69" t="s">
        <v>845</v>
      </c>
      <c r="C78" s="69" t="s">
        <v>889</v>
      </c>
      <c r="D78" s="66" t="s">
        <v>890</v>
      </c>
      <c r="E78" s="66" t="s">
        <v>879</v>
      </c>
      <c r="F78" s="67" t="s">
        <v>880</v>
      </c>
      <c r="G78" s="66" t="s">
        <v>844</v>
      </c>
      <c r="H78" s="66" t="s">
        <v>895</v>
      </c>
      <c r="I78" s="67">
        <v>2248</v>
      </c>
      <c r="J78" s="67"/>
      <c r="K78" s="70" t="s">
        <v>113</v>
      </c>
      <c r="L78" s="160"/>
      <c r="M78" s="160"/>
      <c r="N78" s="160"/>
      <c r="O78" s="162" t="s">
        <v>895</v>
      </c>
    </row>
    <row r="79" spans="1:15" ht="15" customHeight="1" x14ac:dyDescent="0.25">
      <c r="A79" s="154" t="s">
        <v>844</v>
      </c>
      <c r="B79" s="69" t="s">
        <v>845</v>
      </c>
      <c r="C79" s="69" t="s">
        <v>889</v>
      </c>
      <c r="D79" s="66" t="s">
        <v>890</v>
      </c>
      <c r="E79" s="66" t="s">
        <v>887</v>
      </c>
      <c r="F79" s="67" t="s">
        <v>888</v>
      </c>
      <c r="G79" s="66" t="s">
        <v>844</v>
      </c>
      <c r="H79" s="66" t="s">
        <v>895</v>
      </c>
      <c r="I79" s="67">
        <v>-2248</v>
      </c>
      <c r="J79" s="67"/>
      <c r="K79" s="70" t="s">
        <v>113</v>
      </c>
      <c r="L79" s="160"/>
      <c r="M79" s="160"/>
      <c r="N79" s="160"/>
      <c r="O79" s="161" t="s">
        <v>895</v>
      </c>
    </row>
    <row r="80" spans="1:15" ht="15" customHeight="1" x14ac:dyDescent="0.25">
      <c r="A80" s="154" t="s">
        <v>844</v>
      </c>
      <c r="B80" s="69" t="s">
        <v>845</v>
      </c>
      <c r="C80" s="69" t="s">
        <v>889</v>
      </c>
      <c r="D80" s="66" t="s">
        <v>890</v>
      </c>
      <c r="E80" s="66" t="s">
        <v>916</v>
      </c>
      <c r="F80" s="67" t="s">
        <v>917</v>
      </c>
      <c r="G80" s="66" t="s">
        <v>844</v>
      </c>
      <c r="H80" s="66" t="s">
        <v>895</v>
      </c>
      <c r="I80" s="67">
        <v>-375981</v>
      </c>
      <c r="J80" s="67"/>
      <c r="K80" s="70" t="s">
        <v>113</v>
      </c>
      <c r="L80" s="160"/>
      <c r="M80" s="160"/>
      <c r="N80" s="160"/>
      <c r="O80" s="162" t="s">
        <v>895</v>
      </c>
    </row>
    <row r="81" spans="1:15" ht="15" customHeight="1" x14ac:dyDescent="0.25">
      <c r="A81" s="154" t="s">
        <v>844</v>
      </c>
      <c r="B81" s="69" t="s">
        <v>845</v>
      </c>
      <c r="C81" s="69" t="s">
        <v>889</v>
      </c>
      <c r="D81" s="66" t="s">
        <v>890</v>
      </c>
      <c r="E81" s="66" t="s">
        <v>924</v>
      </c>
      <c r="F81" s="67" t="s">
        <v>925</v>
      </c>
      <c r="G81" s="66" t="s">
        <v>926</v>
      </c>
      <c r="H81" s="66" t="s">
        <v>927</v>
      </c>
      <c r="I81" s="67">
        <v>10927</v>
      </c>
      <c r="J81" s="67"/>
      <c r="K81" s="70" t="s">
        <v>113</v>
      </c>
      <c r="L81" s="160"/>
      <c r="M81" s="160"/>
      <c r="N81" s="160"/>
      <c r="O81" s="162" t="s">
        <v>927</v>
      </c>
    </row>
    <row r="82" spans="1:15" ht="15" customHeight="1" x14ac:dyDescent="0.25">
      <c r="A82" s="154" t="s">
        <v>844</v>
      </c>
      <c r="B82" s="69" t="s">
        <v>845</v>
      </c>
      <c r="C82" s="69" t="s">
        <v>889</v>
      </c>
      <c r="D82" s="66" t="s">
        <v>890</v>
      </c>
      <c r="E82" s="66" t="s">
        <v>898</v>
      </c>
      <c r="F82" s="67" t="s">
        <v>899</v>
      </c>
      <c r="G82" s="66" t="s">
        <v>930</v>
      </c>
      <c r="H82" s="66" t="s">
        <v>931</v>
      </c>
      <c r="I82" s="67">
        <v>32988</v>
      </c>
      <c r="J82" s="67"/>
      <c r="K82" s="70" t="s">
        <v>113</v>
      </c>
      <c r="L82" s="160"/>
      <c r="M82" s="160"/>
      <c r="N82" s="160"/>
      <c r="O82" s="162" t="s">
        <v>931</v>
      </c>
    </row>
    <row r="83" spans="1:15" ht="15" customHeight="1" x14ac:dyDescent="0.25">
      <c r="A83" s="154" t="s">
        <v>844</v>
      </c>
      <c r="B83" s="69" t="s">
        <v>845</v>
      </c>
      <c r="C83" s="69" t="s">
        <v>889</v>
      </c>
      <c r="D83" s="66" t="s">
        <v>890</v>
      </c>
      <c r="E83" s="66" t="s">
        <v>902</v>
      </c>
      <c r="F83" s="67" t="s">
        <v>903</v>
      </c>
      <c r="G83" s="66" t="s">
        <v>930</v>
      </c>
      <c r="H83" s="66" t="s">
        <v>931</v>
      </c>
      <c r="I83" s="67">
        <v>5900</v>
      </c>
      <c r="J83" s="67"/>
      <c r="K83" s="70" t="s">
        <v>113</v>
      </c>
      <c r="L83" s="160"/>
      <c r="M83" s="160"/>
      <c r="N83" s="160"/>
      <c r="O83" s="161" t="s">
        <v>931</v>
      </c>
    </row>
    <row r="84" spans="1:15" ht="15" customHeight="1" x14ac:dyDescent="0.25">
      <c r="A84" s="154" t="s">
        <v>844</v>
      </c>
      <c r="B84" s="69" t="s">
        <v>845</v>
      </c>
      <c r="C84" s="69" t="s">
        <v>889</v>
      </c>
      <c r="D84" s="66" t="s">
        <v>890</v>
      </c>
      <c r="E84" s="66" t="s">
        <v>936</v>
      </c>
      <c r="F84" s="67" t="s">
        <v>937</v>
      </c>
      <c r="G84" s="66" t="s">
        <v>930</v>
      </c>
      <c r="H84" s="66" t="s">
        <v>931</v>
      </c>
      <c r="I84" s="67">
        <v>2289</v>
      </c>
      <c r="J84" s="67"/>
      <c r="K84" s="70" t="s">
        <v>113</v>
      </c>
      <c r="L84" s="160"/>
      <c r="M84" s="160"/>
      <c r="N84" s="160"/>
      <c r="O84" s="162" t="s">
        <v>931</v>
      </c>
    </row>
    <row r="85" spans="1:15" ht="15" customHeight="1" x14ac:dyDescent="0.25">
      <c r="A85" s="154" t="s">
        <v>844</v>
      </c>
      <c r="B85" s="69" t="s">
        <v>845</v>
      </c>
      <c r="C85" s="69" t="s">
        <v>889</v>
      </c>
      <c r="D85" s="66" t="s">
        <v>890</v>
      </c>
      <c r="E85" s="66" t="s">
        <v>906</v>
      </c>
      <c r="F85" s="67" t="s">
        <v>907</v>
      </c>
      <c r="G85" s="66" t="s">
        <v>930</v>
      </c>
      <c r="H85" s="66" t="s">
        <v>931</v>
      </c>
      <c r="I85" s="67">
        <v>851</v>
      </c>
      <c r="J85" s="67"/>
      <c r="K85" s="70" t="s">
        <v>113</v>
      </c>
      <c r="L85" s="160"/>
      <c r="M85" s="160"/>
      <c r="N85" s="160"/>
      <c r="O85" s="161" t="s">
        <v>931</v>
      </c>
    </row>
    <row r="86" spans="1:15" ht="15" customHeight="1" x14ac:dyDescent="0.25">
      <c r="A86" s="154" t="s">
        <v>844</v>
      </c>
      <c r="B86" s="69" t="s">
        <v>845</v>
      </c>
      <c r="C86" s="69" t="s">
        <v>889</v>
      </c>
      <c r="D86" s="66" t="s">
        <v>890</v>
      </c>
      <c r="E86" s="66" t="s">
        <v>807</v>
      </c>
      <c r="F86" s="67" t="s">
        <v>808</v>
      </c>
      <c r="G86" s="66" t="s">
        <v>930</v>
      </c>
      <c r="H86" s="66" t="s">
        <v>931</v>
      </c>
      <c r="I86" s="67">
        <v>5488</v>
      </c>
      <c r="J86" s="67"/>
      <c r="K86" s="70" t="s">
        <v>113</v>
      </c>
      <c r="L86" s="160"/>
      <c r="M86" s="160"/>
      <c r="N86" s="160"/>
      <c r="O86" s="162" t="s">
        <v>931</v>
      </c>
    </row>
    <row r="87" spans="1:15" ht="15" customHeight="1" x14ac:dyDescent="0.25">
      <c r="A87" s="154" t="s">
        <v>844</v>
      </c>
      <c r="B87" s="69" t="s">
        <v>845</v>
      </c>
      <c r="C87" s="69" t="s">
        <v>889</v>
      </c>
      <c r="D87" s="66" t="s">
        <v>890</v>
      </c>
      <c r="E87" s="66" t="s">
        <v>815</v>
      </c>
      <c r="F87" s="67" t="s">
        <v>141</v>
      </c>
      <c r="G87" s="66" t="s">
        <v>930</v>
      </c>
      <c r="H87" s="66" t="s">
        <v>931</v>
      </c>
      <c r="I87" s="67">
        <v>6700</v>
      </c>
      <c r="J87" s="67"/>
      <c r="K87" s="70" t="s">
        <v>113</v>
      </c>
      <c r="L87" s="160"/>
      <c r="M87" s="160"/>
      <c r="N87" s="160"/>
      <c r="O87" s="161" t="s">
        <v>931</v>
      </c>
    </row>
    <row r="88" spans="1:15" ht="15" customHeight="1" x14ac:dyDescent="0.25">
      <c r="A88" s="154" t="s">
        <v>844</v>
      </c>
      <c r="B88" s="69" t="s">
        <v>845</v>
      </c>
      <c r="C88" s="69" t="s">
        <v>889</v>
      </c>
      <c r="D88" s="66" t="s">
        <v>890</v>
      </c>
      <c r="E88" s="66" t="s">
        <v>938</v>
      </c>
      <c r="F88" s="67" t="s">
        <v>939</v>
      </c>
      <c r="G88" s="66" t="s">
        <v>930</v>
      </c>
      <c r="H88" s="66" t="s">
        <v>931</v>
      </c>
      <c r="I88" s="67">
        <v>6815</v>
      </c>
      <c r="J88" s="67"/>
      <c r="K88" s="70" t="s">
        <v>113</v>
      </c>
      <c r="L88" s="160"/>
      <c r="M88" s="160"/>
      <c r="N88" s="160"/>
      <c r="O88" s="162" t="s">
        <v>931</v>
      </c>
    </row>
    <row r="89" spans="1:15" ht="15" customHeight="1" x14ac:dyDescent="0.25">
      <c r="A89" s="154" t="s">
        <v>844</v>
      </c>
      <c r="B89" s="69" t="s">
        <v>845</v>
      </c>
      <c r="C89" s="69" t="s">
        <v>889</v>
      </c>
      <c r="D89" s="66" t="s">
        <v>890</v>
      </c>
      <c r="E89" s="66" t="s">
        <v>940</v>
      </c>
      <c r="F89" s="67" t="s">
        <v>941</v>
      </c>
      <c r="G89" s="66" t="s">
        <v>930</v>
      </c>
      <c r="H89" s="66" t="s">
        <v>931</v>
      </c>
      <c r="I89" s="67">
        <v>136338</v>
      </c>
      <c r="J89" s="67"/>
      <c r="K89" s="70" t="s">
        <v>113</v>
      </c>
      <c r="L89" s="160"/>
      <c r="M89" s="160"/>
      <c r="N89" s="160"/>
      <c r="O89" s="161" t="s">
        <v>931</v>
      </c>
    </row>
    <row r="90" spans="1:15" ht="15" customHeight="1" x14ac:dyDescent="0.25">
      <c r="A90" s="154" t="s">
        <v>844</v>
      </c>
      <c r="B90" s="69" t="s">
        <v>845</v>
      </c>
      <c r="C90" s="69" t="s">
        <v>889</v>
      </c>
      <c r="D90" s="66" t="s">
        <v>890</v>
      </c>
      <c r="E90" s="66" t="s">
        <v>828</v>
      </c>
      <c r="F90" s="67" t="s">
        <v>829</v>
      </c>
      <c r="G90" s="66" t="s">
        <v>930</v>
      </c>
      <c r="H90" s="66" t="s">
        <v>931</v>
      </c>
      <c r="I90" s="67">
        <v>462</v>
      </c>
      <c r="J90" s="67"/>
      <c r="K90" s="70" t="s">
        <v>113</v>
      </c>
      <c r="L90" s="160"/>
      <c r="M90" s="160"/>
      <c r="N90" s="160"/>
      <c r="O90" s="162" t="s">
        <v>931</v>
      </c>
    </row>
    <row r="91" spans="1:15" ht="15" customHeight="1" x14ac:dyDescent="0.25">
      <c r="A91" s="154" t="s">
        <v>844</v>
      </c>
      <c r="B91" s="69" t="s">
        <v>845</v>
      </c>
      <c r="C91" s="69" t="s">
        <v>889</v>
      </c>
      <c r="D91" s="66" t="s">
        <v>890</v>
      </c>
      <c r="E91" s="66" t="s">
        <v>910</v>
      </c>
      <c r="F91" s="67" t="s">
        <v>911</v>
      </c>
      <c r="G91" s="66" t="s">
        <v>930</v>
      </c>
      <c r="H91" s="66" t="s">
        <v>931</v>
      </c>
      <c r="I91" s="67">
        <v>4063</v>
      </c>
      <c r="J91" s="67"/>
      <c r="K91" s="70" t="s">
        <v>113</v>
      </c>
      <c r="L91" s="160"/>
      <c r="M91" s="160"/>
      <c r="N91" s="160"/>
      <c r="O91" s="161" t="s">
        <v>931</v>
      </c>
    </row>
    <row r="92" spans="1:15" ht="15" customHeight="1" x14ac:dyDescent="0.25">
      <c r="A92" s="154" t="s">
        <v>844</v>
      </c>
      <c r="B92" s="69" t="s">
        <v>845</v>
      </c>
      <c r="C92" s="69" t="s">
        <v>889</v>
      </c>
      <c r="D92" s="66" t="s">
        <v>890</v>
      </c>
      <c r="E92" s="66" t="s">
        <v>912</v>
      </c>
      <c r="F92" s="67" t="s">
        <v>913</v>
      </c>
      <c r="G92" s="66" t="s">
        <v>930</v>
      </c>
      <c r="H92" s="66" t="s">
        <v>931</v>
      </c>
      <c r="I92" s="67">
        <v>2942</v>
      </c>
      <c r="J92" s="67"/>
      <c r="K92" s="70" t="s">
        <v>113</v>
      </c>
      <c r="L92" s="160"/>
      <c r="M92" s="160"/>
      <c r="N92" s="160"/>
      <c r="O92" s="162" t="s">
        <v>931</v>
      </c>
    </row>
    <row r="93" spans="1:15" ht="15" customHeight="1" x14ac:dyDescent="0.25">
      <c r="A93" s="154" t="s">
        <v>844</v>
      </c>
      <c r="B93" s="69" t="s">
        <v>845</v>
      </c>
      <c r="C93" s="69" t="s">
        <v>889</v>
      </c>
      <c r="D93" s="66" t="s">
        <v>890</v>
      </c>
      <c r="E93" s="66" t="s">
        <v>942</v>
      </c>
      <c r="F93" s="67" t="s">
        <v>943</v>
      </c>
      <c r="G93" s="66" t="s">
        <v>930</v>
      </c>
      <c r="H93" s="66" t="s">
        <v>931</v>
      </c>
      <c r="I93" s="67">
        <v>810</v>
      </c>
      <c r="J93" s="67"/>
      <c r="K93" s="70" t="s">
        <v>113</v>
      </c>
      <c r="L93" s="160"/>
      <c r="M93" s="160"/>
      <c r="N93" s="160"/>
      <c r="O93" s="161" t="s">
        <v>931</v>
      </c>
    </row>
    <row r="94" spans="1:15" ht="15" customHeight="1" x14ac:dyDescent="0.25">
      <c r="A94" s="154" t="s">
        <v>844</v>
      </c>
      <c r="B94" s="69" t="s">
        <v>845</v>
      </c>
      <c r="C94" s="69" t="s">
        <v>889</v>
      </c>
      <c r="D94" s="66" t="s">
        <v>890</v>
      </c>
      <c r="E94" s="66" t="s">
        <v>914</v>
      </c>
      <c r="F94" s="67" t="s">
        <v>915</v>
      </c>
      <c r="G94" s="66" t="s">
        <v>930</v>
      </c>
      <c r="H94" s="66" t="s">
        <v>931</v>
      </c>
      <c r="I94" s="67">
        <v>354</v>
      </c>
      <c r="J94" s="67"/>
      <c r="K94" s="70" t="s">
        <v>113</v>
      </c>
      <c r="L94" s="160"/>
      <c r="M94" s="160"/>
      <c r="N94" s="160"/>
      <c r="O94" s="162" t="s">
        <v>931</v>
      </c>
    </row>
    <row r="95" spans="1:15" ht="15" customHeight="1" x14ac:dyDescent="0.25">
      <c r="A95" s="154" t="s">
        <v>844</v>
      </c>
      <c r="B95" s="69" t="s">
        <v>845</v>
      </c>
      <c r="C95" s="69" t="s">
        <v>889</v>
      </c>
      <c r="D95" s="66" t="s">
        <v>890</v>
      </c>
      <c r="E95" s="66" t="s">
        <v>879</v>
      </c>
      <c r="F95" s="67" t="s">
        <v>880</v>
      </c>
      <c r="G95" s="66" t="s">
        <v>930</v>
      </c>
      <c r="H95" s="66" t="s">
        <v>931</v>
      </c>
      <c r="I95" s="67">
        <v>646</v>
      </c>
      <c r="J95" s="67"/>
      <c r="K95" s="70" t="s">
        <v>113</v>
      </c>
      <c r="L95" s="160"/>
      <c r="M95" s="160"/>
      <c r="N95" s="160"/>
      <c r="O95" s="161" t="s">
        <v>931</v>
      </c>
    </row>
    <row r="96" spans="1:15" ht="15" customHeight="1" x14ac:dyDescent="0.25">
      <c r="A96" s="154" t="s">
        <v>844</v>
      </c>
      <c r="B96" s="69" t="s">
        <v>845</v>
      </c>
      <c r="C96" s="69" t="s">
        <v>889</v>
      </c>
      <c r="D96" s="66" t="s">
        <v>890</v>
      </c>
      <c r="E96" s="66" t="s">
        <v>920</v>
      </c>
      <c r="F96" s="67" t="s">
        <v>921</v>
      </c>
      <c r="G96" s="66" t="s">
        <v>930</v>
      </c>
      <c r="H96" s="66" t="s">
        <v>931</v>
      </c>
      <c r="I96" s="67">
        <v>-204000</v>
      </c>
      <c r="J96" s="67"/>
      <c r="K96" s="70" t="s">
        <v>113</v>
      </c>
      <c r="L96" s="160"/>
      <c r="M96" s="160"/>
      <c r="N96" s="160"/>
      <c r="O96" s="162" t="s">
        <v>931</v>
      </c>
    </row>
    <row r="97" spans="1:15" ht="15" customHeight="1" x14ac:dyDescent="0.25">
      <c r="A97" s="154" t="s">
        <v>844</v>
      </c>
      <c r="B97" s="69" t="s">
        <v>845</v>
      </c>
      <c r="C97" s="69" t="s">
        <v>889</v>
      </c>
      <c r="D97" s="66" t="s">
        <v>890</v>
      </c>
      <c r="E97" s="66" t="s">
        <v>887</v>
      </c>
      <c r="F97" s="67" t="s">
        <v>888</v>
      </c>
      <c r="G97" s="66" t="s">
        <v>930</v>
      </c>
      <c r="H97" s="66" t="s">
        <v>931</v>
      </c>
      <c r="I97" s="67">
        <v>-646</v>
      </c>
      <c r="J97" s="67"/>
      <c r="K97" s="70" t="s">
        <v>113</v>
      </c>
      <c r="L97" s="160"/>
      <c r="M97" s="160"/>
      <c r="N97" s="160"/>
      <c r="O97" s="161" t="s">
        <v>931</v>
      </c>
    </row>
    <row r="98" spans="1:15" ht="15" customHeight="1" x14ac:dyDescent="0.25">
      <c r="A98" s="154" t="s">
        <v>844</v>
      </c>
      <c r="B98" s="69" t="s">
        <v>845</v>
      </c>
      <c r="C98" s="69" t="s">
        <v>889</v>
      </c>
      <c r="D98" s="66" t="s">
        <v>890</v>
      </c>
      <c r="E98" s="66" t="s">
        <v>944</v>
      </c>
      <c r="F98" s="67" t="s">
        <v>945</v>
      </c>
      <c r="G98" s="66" t="s">
        <v>820</v>
      </c>
      <c r="H98" s="66" t="s">
        <v>821</v>
      </c>
      <c r="I98" s="67">
        <v>19763</v>
      </c>
      <c r="J98" s="67"/>
      <c r="K98" s="70" t="s">
        <v>113</v>
      </c>
      <c r="L98" s="160"/>
      <c r="M98" s="160"/>
      <c r="N98" s="160"/>
      <c r="O98" s="162" t="s">
        <v>821</v>
      </c>
    </row>
    <row r="99" spans="1:15" ht="15" customHeight="1" x14ac:dyDescent="0.25">
      <c r="A99" s="154" t="s">
        <v>844</v>
      </c>
      <c r="B99" s="69" t="s">
        <v>845</v>
      </c>
      <c r="C99" s="69" t="s">
        <v>889</v>
      </c>
      <c r="D99" s="66" t="s">
        <v>890</v>
      </c>
      <c r="E99" s="66" t="s">
        <v>867</v>
      </c>
      <c r="F99" s="67" t="s">
        <v>868</v>
      </c>
      <c r="G99" s="66" t="s">
        <v>820</v>
      </c>
      <c r="H99" s="66" t="s">
        <v>821</v>
      </c>
      <c r="I99" s="67">
        <v>394</v>
      </c>
      <c r="J99" s="67"/>
      <c r="K99" s="70" t="s">
        <v>113</v>
      </c>
      <c r="L99" s="160"/>
      <c r="M99" s="160"/>
      <c r="N99" s="160"/>
      <c r="O99" s="161" t="s">
        <v>821</v>
      </c>
    </row>
    <row r="100" spans="1:15" ht="15" customHeight="1" x14ac:dyDescent="0.25">
      <c r="A100" s="154" t="s">
        <v>844</v>
      </c>
      <c r="B100" s="69" t="s">
        <v>845</v>
      </c>
      <c r="C100" s="69" t="s">
        <v>889</v>
      </c>
      <c r="D100" s="66" t="s">
        <v>890</v>
      </c>
      <c r="E100" s="66" t="s">
        <v>946</v>
      </c>
      <c r="F100" s="67" t="s">
        <v>947</v>
      </c>
      <c r="G100" s="66" t="s">
        <v>820</v>
      </c>
      <c r="H100" s="66" t="s">
        <v>821</v>
      </c>
      <c r="I100" s="67">
        <v>13020</v>
      </c>
      <c r="J100" s="67"/>
      <c r="K100" s="70" t="s">
        <v>113</v>
      </c>
      <c r="L100" s="160"/>
      <c r="M100" s="160"/>
      <c r="N100" s="160"/>
      <c r="O100" s="162" t="s">
        <v>821</v>
      </c>
    </row>
    <row r="101" spans="1:15" ht="15" customHeight="1" x14ac:dyDescent="0.25">
      <c r="A101" s="154" t="s">
        <v>844</v>
      </c>
      <c r="B101" s="69" t="s">
        <v>845</v>
      </c>
      <c r="C101" s="69" t="s">
        <v>889</v>
      </c>
      <c r="D101" s="66" t="s">
        <v>890</v>
      </c>
      <c r="E101" s="66" t="s">
        <v>879</v>
      </c>
      <c r="F101" s="67" t="s">
        <v>880</v>
      </c>
      <c r="G101" s="66" t="s">
        <v>820</v>
      </c>
      <c r="H101" s="66" t="s">
        <v>821</v>
      </c>
      <c r="I101" s="67">
        <v>6133</v>
      </c>
      <c r="J101" s="67"/>
      <c r="K101" s="70" t="s">
        <v>113</v>
      </c>
      <c r="L101" s="160"/>
      <c r="M101" s="160"/>
      <c r="N101" s="160"/>
      <c r="O101" s="161" t="s">
        <v>821</v>
      </c>
    </row>
    <row r="102" spans="1:15" ht="15" customHeight="1" x14ac:dyDescent="0.25">
      <c r="A102" s="154" t="s">
        <v>844</v>
      </c>
      <c r="B102" s="69" t="s">
        <v>845</v>
      </c>
      <c r="C102" s="69" t="s">
        <v>889</v>
      </c>
      <c r="D102" s="66" t="s">
        <v>890</v>
      </c>
      <c r="E102" s="66" t="s">
        <v>887</v>
      </c>
      <c r="F102" s="67" t="s">
        <v>888</v>
      </c>
      <c r="G102" s="66" t="s">
        <v>820</v>
      </c>
      <c r="H102" s="66" t="s">
        <v>821</v>
      </c>
      <c r="I102" s="67">
        <v>-6133</v>
      </c>
      <c r="J102" s="67"/>
      <c r="K102" s="70" t="s">
        <v>113</v>
      </c>
      <c r="L102" s="160"/>
      <c r="M102" s="160"/>
      <c r="N102" s="160"/>
      <c r="O102" s="162" t="s">
        <v>821</v>
      </c>
    </row>
    <row r="103" spans="1:15" ht="15" customHeight="1" x14ac:dyDescent="0.25">
      <c r="A103" s="154" t="s">
        <v>844</v>
      </c>
      <c r="B103" s="69" t="s">
        <v>845</v>
      </c>
      <c r="C103" s="69" t="s">
        <v>889</v>
      </c>
      <c r="D103" s="66" t="s">
        <v>890</v>
      </c>
      <c r="E103" s="66" t="s">
        <v>898</v>
      </c>
      <c r="F103" s="67" t="s">
        <v>899</v>
      </c>
      <c r="G103" s="66" t="s">
        <v>952</v>
      </c>
      <c r="H103" s="66" t="s">
        <v>953</v>
      </c>
      <c r="I103" s="67">
        <v>59383</v>
      </c>
      <c r="J103" s="67"/>
      <c r="K103" s="70" t="s">
        <v>113</v>
      </c>
      <c r="L103" s="160"/>
      <c r="M103" s="160"/>
      <c r="N103" s="160"/>
      <c r="O103" s="162" t="s">
        <v>953</v>
      </c>
    </row>
    <row r="104" spans="1:15" ht="15" customHeight="1" x14ac:dyDescent="0.25">
      <c r="A104" s="154" t="s">
        <v>844</v>
      </c>
      <c r="B104" s="69" t="s">
        <v>845</v>
      </c>
      <c r="C104" s="69" t="s">
        <v>889</v>
      </c>
      <c r="D104" s="66" t="s">
        <v>890</v>
      </c>
      <c r="E104" s="66" t="s">
        <v>964</v>
      </c>
      <c r="F104" s="67" t="s">
        <v>965</v>
      </c>
      <c r="G104" s="66" t="s">
        <v>952</v>
      </c>
      <c r="H104" s="66" t="s">
        <v>953</v>
      </c>
      <c r="I104" s="67">
        <v>72</v>
      </c>
      <c r="J104" s="67"/>
      <c r="K104" s="70" t="s">
        <v>113</v>
      </c>
      <c r="L104" s="160"/>
      <c r="M104" s="160"/>
      <c r="N104" s="160"/>
      <c r="O104" s="161" t="s">
        <v>953</v>
      </c>
    </row>
    <row r="105" spans="1:15" ht="15" customHeight="1" x14ac:dyDescent="0.25">
      <c r="A105" s="154" t="s">
        <v>844</v>
      </c>
      <c r="B105" s="69" t="s">
        <v>845</v>
      </c>
      <c r="C105" s="69" t="s">
        <v>889</v>
      </c>
      <c r="D105" s="66" t="s">
        <v>890</v>
      </c>
      <c r="E105" s="66" t="s">
        <v>936</v>
      </c>
      <c r="F105" s="67" t="s">
        <v>937</v>
      </c>
      <c r="G105" s="66" t="s">
        <v>952</v>
      </c>
      <c r="H105" s="66" t="s">
        <v>953</v>
      </c>
      <c r="I105" s="67">
        <v>8363</v>
      </c>
      <c r="J105" s="67"/>
      <c r="K105" s="70" t="s">
        <v>113</v>
      </c>
      <c r="L105" s="160"/>
      <c r="M105" s="160"/>
      <c r="N105" s="160"/>
      <c r="O105" s="162" t="s">
        <v>953</v>
      </c>
    </row>
    <row r="106" spans="1:15" ht="15" customHeight="1" x14ac:dyDescent="0.25">
      <c r="A106" s="154" t="s">
        <v>844</v>
      </c>
      <c r="B106" s="69" t="s">
        <v>845</v>
      </c>
      <c r="C106" s="69" t="s">
        <v>889</v>
      </c>
      <c r="D106" s="66" t="s">
        <v>890</v>
      </c>
      <c r="E106" s="66" t="s">
        <v>807</v>
      </c>
      <c r="F106" s="68" t="s">
        <v>808</v>
      </c>
      <c r="G106" s="66" t="s">
        <v>952</v>
      </c>
      <c r="H106" s="66" t="s">
        <v>953</v>
      </c>
      <c r="I106" s="67">
        <v>8280</v>
      </c>
      <c r="J106" s="67"/>
      <c r="K106" s="70" t="s">
        <v>113</v>
      </c>
      <c r="L106" s="160"/>
      <c r="M106" s="160"/>
      <c r="N106" s="160"/>
      <c r="O106" s="162" t="s">
        <v>953</v>
      </c>
    </row>
    <row r="107" spans="1:15" ht="15" customHeight="1" x14ac:dyDescent="0.25">
      <c r="A107" s="154" t="s">
        <v>844</v>
      </c>
      <c r="B107" s="69" t="s">
        <v>845</v>
      </c>
      <c r="C107" s="69" t="s">
        <v>889</v>
      </c>
      <c r="D107" s="66" t="s">
        <v>890</v>
      </c>
      <c r="E107" s="66" t="s">
        <v>815</v>
      </c>
      <c r="F107" s="68" t="s">
        <v>141</v>
      </c>
      <c r="G107" s="66" t="s">
        <v>952</v>
      </c>
      <c r="H107" s="66" t="s">
        <v>953</v>
      </c>
      <c r="I107" s="67">
        <v>10730</v>
      </c>
      <c r="J107" s="67"/>
      <c r="K107" s="70" t="s">
        <v>113</v>
      </c>
      <c r="L107" s="160"/>
      <c r="M107" s="160"/>
      <c r="N107" s="160"/>
      <c r="O107" s="161" t="s">
        <v>953</v>
      </c>
    </row>
    <row r="108" spans="1:15" s="196" customFormat="1" ht="15" customHeight="1" x14ac:dyDescent="0.25">
      <c r="A108" s="188" t="s">
        <v>844</v>
      </c>
      <c r="B108" s="189" t="s">
        <v>845</v>
      </c>
      <c r="C108" s="189" t="s">
        <v>889</v>
      </c>
      <c r="D108" s="190" t="s">
        <v>890</v>
      </c>
      <c r="E108" s="190" t="s">
        <v>893</v>
      </c>
      <c r="F108" s="191" t="s">
        <v>894</v>
      </c>
      <c r="G108" s="190" t="s">
        <v>966</v>
      </c>
      <c r="H108" s="190" t="s">
        <v>967</v>
      </c>
      <c r="I108" s="192">
        <v>118339</v>
      </c>
      <c r="J108" s="192"/>
      <c r="K108" s="193" t="s">
        <v>103</v>
      </c>
      <c r="L108" s="194"/>
      <c r="M108" s="194"/>
      <c r="N108" s="194"/>
      <c r="O108" s="195" t="s">
        <v>1025</v>
      </c>
    </row>
    <row r="109" spans="1:15" s="196" customFormat="1" ht="15" customHeight="1" x14ac:dyDescent="0.25">
      <c r="A109" s="188" t="s">
        <v>844</v>
      </c>
      <c r="B109" s="189" t="s">
        <v>845</v>
      </c>
      <c r="C109" s="189" t="s">
        <v>889</v>
      </c>
      <c r="D109" s="190" t="s">
        <v>890</v>
      </c>
      <c r="E109" s="190" t="s">
        <v>902</v>
      </c>
      <c r="F109" s="191" t="s">
        <v>903</v>
      </c>
      <c r="G109" s="190" t="s">
        <v>966</v>
      </c>
      <c r="H109" s="190" t="s">
        <v>967</v>
      </c>
      <c r="I109" s="192">
        <v>2276</v>
      </c>
      <c r="J109" s="192"/>
      <c r="K109" s="193" t="s">
        <v>103</v>
      </c>
      <c r="L109" s="194"/>
      <c r="M109" s="194"/>
      <c r="N109" s="194"/>
      <c r="O109" s="197" t="s">
        <v>1025</v>
      </c>
    </row>
    <row r="110" spans="1:15" s="196" customFormat="1" ht="15" customHeight="1" x14ac:dyDescent="0.25">
      <c r="A110" s="188" t="s">
        <v>844</v>
      </c>
      <c r="B110" s="189" t="s">
        <v>845</v>
      </c>
      <c r="C110" s="189" t="s">
        <v>889</v>
      </c>
      <c r="D110" s="190" t="s">
        <v>890</v>
      </c>
      <c r="E110" s="190" t="s">
        <v>964</v>
      </c>
      <c r="F110" s="191" t="s">
        <v>965</v>
      </c>
      <c r="G110" s="190" t="s">
        <v>966</v>
      </c>
      <c r="H110" s="190" t="s">
        <v>967</v>
      </c>
      <c r="I110" s="192">
        <v>108</v>
      </c>
      <c r="J110" s="192"/>
      <c r="K110" s="193" t="s">
        <v>103</v>
      </c>
      <c r="L110" s="194"/>
      <c r="M110" s="194"/>
      <c r="N110" s="194"/>
      <c r="O110" s="195" t="s">
        <v>1025</v>
      </c>
    </row>
    <row r="111" spans="1:15" s="196" customFormat="1" ht="15" customHeight="1" x14ac:dyDescent="0.25">
      <c r="A111" s="188" t="s">
        <v>844</v>
      </c>
      <c r="B111" s="189" t="s">
        <v>845</v>
      </c>
      <c r="C111" s="189" t="s">
        <v>889</v>
      </c>
      <c r="D111" s="190" t="s">
        <v>890</v>
      </c>
      <c r="E111" s="190" t="s">
        <v>936</v>
      </c>
      <c r="F111" s="191" t="s">
        <v>937</v>
      </c>
      <c r="G111" s="190" t="s">
        <v>966</v>
      </c>
      <c r="H111" s="190" t="s">
        <v>967</v>
      </c>
      <c r="I111" s="192">
        <v>1522</v>
      </c>
      <c r="J111" s="192"/>
      <c r="K111" s="193" t="s">
        <v>103</v>
      </c>
      <c r="L111" s="194"/>
      <c r="M111" s="194"/>
      <c r="N111" s="194"/>
      <c r="O111" s="197" t="s">
        <v>1025</v>
      </c>
    </row>
    <row r="112" spans="1:15" s="196" customFormat="1" ht="15" customHeight="1" x14ac:dyDescent="0.25">
      <c r="A112" s="188" t="s">
        <v>844</v>
      </c>
      <c r="B112" s="189" t="s">
        <v>845</v>
      </c>
      <c r="C112" s="189" t="s">
        <v>889</v>
      </c>
      <c r="D112" s="190" t="s">
        <v>890</v>
      </c>
      <c r="E112" s="190" t="s">
        <v>807</v>
      </c>
      <c r="F112" s="191" t="s">
        <v>808</v>
      </c>
      <c r="G112" s="190" t="s">
        <v>966</v>
      </c>
      <c r="H112" s="190" t="s">
        <v>967</v>
      </c>
      <c r="I112" s="192">
        <v>17231</v>
      </c>
      <c r="J112" s="192"/>
      <c r="K112" s="193" t="s">
        <v>104</v>
      </c>
      <c r="L112" s="194"/>
      <c r="M112" s="194"/>
      <c r="N112" s="194"/>
      <c r="O112" s="195" t="s">
        <v>1025</v>
      </c>
    </row>
    <row r="113" spans="1:15" s="196" customFormat="1" ht="15" customHeight="1" x14ac:dyDescent="0.25">
      <c r="A113" s="188" t="s">
        <v>844</v>
      </c>
      <c r="B113" s="189" t="s">
        <v>845</v>
      </c>
      <c r="C113" s="189" t="s">
        <v>889</v>
      </c>
      <c r="D113" s="190" t="s">
        <v>890</v>
      </c>
      <c r="E113" s="190" t="s">
        <v>813</v>
      </c>
      <c r="F113" s="191" t="s">
        <v>814</v>
      </c>
      <c r="G113" s="190" t="s">
        <v>966</v>
      </c>
      <c r="H113" s="190" t="s">
        <v>967</v>
      </c>
      <c r="I113" s="192">
        <v>22</v>
      </c>
      <c r="J113" s="192"/>
      <c r="K113" s="193" t="s">
        <v>103</v>
      </c>
      <c r="L113" s="194"/>
      <c r="M113" s="194"/>
      <c r="N113" s="194"/>
      <c r="O113" s="197" t="s">
        <v>1025</v>
      </c>
    </row>
    <row r="114" spans="1:15" s="196" customFormat="1" ht="15" customHeight="1" x14ac:dyDescent="0.25">
      <c r="A114" s="188" t="s">
        <v>844</v>
      </c>
      <c r="B114" s="190" t="s">
        <v>845</v>
      </c>
      <c r="C114" s="189" t="s">
        <v>889</v>
      </c>
      <c r="D114" s="190" t="s">
        <v>890</v>
      </c>
      <c r="E114" s="190" t="s">
        <v>815</v>
      </c>
      <c r="F114" s="191" t="s">
        <v>141</v>
      </c>
      <c r="G114" s="190" t="s">
        <v>966</v>
      </c>
      <c r="H114" s="190" t="s">
        <v>967</v>
      </c>
      <c r="I114" s="192">
        <v>19669</v>
      </c>
      <c r="J114" s="192"/>
      <c r="K114" s="193" t="s">
        <v>105</v>
      </c>
      <c r="L114" s="194"/>
      <c r="M114" s="194"/>
      <c r="N114" s="194"/>
      <c r="O114" s="195" t="s">
        <v>1025</v>
      </c>
    </row>
    <row r="115" spans="1:15" ht="15" customHeight="1" x14ac:dyDescent="0.25">
      <c r="A115" s="154" t="s">
        <v>844</v>
      </c>
      <c r="B115" s="66" t="s">
        <v>845</v>
      </c>
      <c r="C115" s="69" t="s">
        <v>889</v>
      </c>
      <c r="D115" s="66" t="s">
        <v>890</v>
      </c>
      <c r="E115" s="66" t="s">
        <v>940</v>
      </c>
      <c r="F115" s="68" t="s">
        <v>941</v>
      </c>
      <c r="G115" s="66" t="s">
        <v>978</v>
      </c>
      <c r="H115" s="66" t="s">
        <v>979</v>
      </c>
      <c r="I115" s="67">
        <v>-18244</v>
      </c>
      <c r="J115" s="67"/>
      <c r="K115" s="70" t="s">
        <v>111</v>
      </c>
      <c r="L115" s="160"/>
      <c r="M115" s="160"/>
      <c r="N115" s="160"/>
      <c r="O115" s="161"/>
    </row>
    <row r="116" spans="1:15" ht="15" customHeight="1" x14ac:dyDescent="0.25">
      <c r="A116" s="154" t="s">
        <v>844</v>
      </c>
      <c r="B116" s="66" t="s">
        <v>845</v>
      </c>
      <c r="C116" s="69" t="s">
        <v>889</v>
      </c>
      <c r="D116" s="66" t="s">
        <v>890</v>
      </c>
      <c r="E116" s="66" t="s">
        <v>980</v>
      </c>
      <c r="F116" s="68" t="s">
        <v>981</v>
      </c>
      <c r="G116" s="66" t="s">
        <v>978</v>
      </c>
      <c r="H116" s="66" t="s">
        <v>979</v>
      </c>
      <c r="I116" s="67">
        <v>18244</v>
      </c>
      <c r="J116" s="67"/>
      <c r="K116" s="70" t="s">
        <v>111</v>
      </c>
      <c r="L116" s="160"/>
      <c r="M116" s="160"/>
      <c r="N116" s="160"/>
      <c r="O116" s="162"/>
    </row>
    <row r="117" spans="1:15" ht="15" customHeight="1" x14ac:dyDescent="0.25">
      <c r="A117" s="154" t="s">
        <v>844</v>
      </c>
      <c r="B117" s="69" t="s">
        <v>845</v>
      </c>
      <c r="C117" s="69" t="s">
        <v>889</v>
      </c>
      <c r="D117" s="66" t="s">
        <v>890</v>
      </c>
      <c r="E117" s="66" t="s">
        <v>950</v>
      </c>
      <c r="F117" s="68" t="s">
        <v>951</v>
      </c>
      <c r="G117" s="66" t="s">
        <v>982</v>
      </c>
      <c r="H117" s="66" t="s">
        <v>983</v>
      </c>
      <c r="I117" s="67">
        <v>331673</v>
      </c>
      <c r="J117" s="67"/>
      <c r="K117" s="70" t="s">
        <v>119</v>
      </c>
      <c r="L117" s="160"/>
      <c r="M117" s="160"/>
      <c r="N117" s="160"/>
      <c r="O117" s="162"/>
    </row>
    <row r="118" spans="1:15" ht="15" customHeight="1" x14ac:dyDescent="0.25">
      <c r="A118" s="154" t="s">
        <v>844</v>
      </c>
      <c r="B118" s="69" t="s">
        <v>845</v>
      </c>
      <c r="C118" s="69" t="s">
        <v>889</v>
      </c>
      <c r="D118" s="66" t="s">
        <v>890</v>
      </c>
      <c r="E118" s="66" t="s">
        <v>984</v>
      </c>
      <c r="F118" s="68" t="s">
        <v>985</v>
      </c>
      <c r="G118" s="66" t="s">
        <v>982</v>
      </c>
      <c r="H118" s="66" t="s">
        <v>983</v>
      </c>
      <c r="I118" s="67">
        <v>390</v>
      </c>
      <c r="J118" s="67"/>
      <c r="K118" s="70" t="s">
        <v>119</v>
      </c>
      <c r="L118" s="160"/>
      <c r="M118" s="160"/>
      <c r="N118" s="160"/>
      <c r="O118" s="161"/>
    </row>
    <row r="119" spans="1:15" ht="15" customHeight="1" x14ac:dyDescent="0.25">
      <c r="A119" s="154" t="s">
        <v>844</v>
      </c>
      <c r="B119" s="69" t="s">
        <v>845</v>
      </c>
      <c r="C119" s="69" t="s">
        <v>889</v>
      </c>
      <c r="D119" s="66" t="s">
        <v>890</v>
      </c>
      <c r="E119" s="66" t="s">
        <v>828</v>
      </c>
      <c r="F119" s="68" t="s">
        <v>829</v>
      </c>
      <c r="G119" s="66" t="s">
        <v>982</v>
      </c>
      <c r="H119" s="66" t="s">
        <v>983</v>
      </c>
      <c r="I119" s="67">
        <v>2211</v>
      </c>
      <c r="J119" s="67"/>
      <c r="K119" s="70" t="s">
        <v>119</v>
      </c>
      <c r="L119" s="160"/>
      <c r="M119" s="160"/>
      <c r="N119" s="160"/>
      <c r="O119" s="162"/>
    </row>
    <row r="120" spans="1:15" ht="15" customHeight="1" x14ac:dyDescent="0.25">
      <c r="A120" s="154" t="s">
        <v>844</v>
      </c>
      <c r="B120" s="69" t="s">
        <v>845</v>
      </c>
      <c r="C120" s="69" t="s">
        <v>889</v>
      </c>
      <c r="D120" s="66" t="s">
        <v>890</v>
      </c>
      <c r="E120" s="66" t="s">
        <v>865</v>
      </c>
      <c r="F120" s="68" t="s">
        <v>866</v>
      </c>
      <c r="G120" s="66" t="s">
        <v>982</v>
      </c>
      <c r="H120" s="66" t="s">
        <v>983</v>
      </c>
      <c r="I120" s="67">
        <v>120</v>
      </c>
      <c r="J120" s="67"/>
      <c r="K120" s="70" t="s">
        <v>119</v>
      </c>
      <c r="L120" s="160"/>
      <c r="M120" s="160"/>
      <c r="N120" s="160"/>
      <c r="O120" s="161"/>
    </row>
    <row r="121" spans="1:15" ht="15" customHeight="1" x14ac:dyDescent="0.25">
      <c r="A121" s="154" t="s">
        <v>844</v>
      </c>
      <c r="B121" s="69" t="s">
        <v>845</v>
      </c>
      <c r="C121" s="69" t="s">
        <v>889</v>
      </c>
      <c r="D121" s="66" t="s">
        <v>890</v>
      </c>
      <c r="E121" s="66" t="s">
        <v>879</v>
      </c>
      <c r="F121" s="68" t="s">
        <v>880</v>
      </c>
      <c r="G121" s="66" t="s">
        <v>982</v>
      </c>
      <c r="H121" s="66" t="s">
        <v>983</v>
      </c>
      <c r="I121" s="67">
        <v>50045</v>
      </c>
      <c r="J121" s="67"/>
      <c r="K121" s="70" t="s">
        <v>119</v>
      </c>
      <c r="L121" s="160"/>
      <c r="M121" s="160"/>
      <c r="N121" s="160"/>
      <c r="O121" s="162"/>
    </row>
    <row r="122" spans="1:15" ht="15" customHeight="1" x14ac:dyDescent="0.25">
      <c r="A122" s="154" t="s">
        <v>844</v>
      </c>
      <c r="B122" s="69" t="s">
        <v>845</v>
      </c>
      <c r="C122" s="69" t="s">
        <v>889</v>
      </c>
      <c r="D122" s="66" t="s">
        <v>890</v>
      </c>
      <c r="E122" s="66" t="s">
        <v>980</v>
      </c>
      <c r="F122" s="68" t="s">
        <v>981</v>
      </c>
      <c r="G122" s="66" t="s">
        <v>982</v>
      </c>
      <c r="H122" s="66" t="s">
        <v>983</v>
      </c>
      <c r="I122" s="67">
        <v>-162470</v>
      </c>
      <c r="J122" s="67"/>
      <c r="K122" s="70" t="s">
        <v>119</v>
      </c>
      <c r="L122" s="160"/>
      <c r="M122" s="160"/>
      <c r="N122" s="160"/>
      <c r="O122" s="161"/>
    </row>
    <row r="123" spans="1:15" ht="15" customHeight="1" x14ac:dyDescent="0.25">
      <c r="A123" s="154" t="s">
        <v>844</v>
      </c>
      <c r="B123" s="69" t="s">
        <v>845</v>
      </c>
      <c r="C123" s="69" t="s">
        <v>889</v>
      </c>
      <c r="D123" s="66" t="s">
        <v>890</v>
      </c>
      <c r="E123" s="66" t="s">
        <v>887</v>
      </c>
      <c r="F123" s="68" t="s">
        <v>888</v>
      </c>
      <c r="G123" s="66" t="s">
        <v>982</v>
      </c>
      <c r="H123" s="66" t="s">
        <v>983</v>
      </c>
      <c r="I123" s="67">
        <v>-50045</v>
      </c>
      <c r="J123" s="67"/>
      <c r="K123" s="70" t="s">
        <v>119</v>
      </c>
      <c r="L123" s="160"/>
      <c r="M123" s="160"/>
      <c r="N123" s="160"/>
      <c r="O123" s="162"/>
    </row>
    <row r="124" spans="1:15" ht="15" customHeight="1" x14ac:dyDescent="0.25">
      <c r="A124" s="154" t="s">
        <v>844</v>
      </c>
      <c r="B124" s="69" t="s">
        <v>845</v>
      </c>
      <c r="C124" s="69" t="s">
        <v>889</v>
      </c>
      <c r="D124" s="66" t="s">
        <v>890</v>
      </c>
      <c r="E124" s="66" t="s">
        <v>916</v>
      </c>
      <c r="F124" s="68" t="s">
        <v>917</v>
      </c>
      <c r="G124" s="66" t="s">
        <v>982</v>
      </c>
      <c r="H124" s="66" t="s">
        <v>983</v>
      </c>
      <c r="I124" s="67">
        <v>-175821</v>
      </c>
      <c r="J124" s="67"/>
      <c r="K124" s="70" t="s">
        <v>119</v>
      </c>
      <c r="L124" s="160"/>
      <c r="M124" s="160"/>
      <c r="N124" s="160"/>
      <c r="O124" s="161"/>
    </row>
    <row r="125" spans="1:15" ht="15" customHeight="1" x14ac:dyDescent="0.25">
      <c r="A125" s="154" t="s">
        <v>844</v>
      </c>
      <c r="B125" s="69" t="s">
        <v>845</v>
      </c>
      <c r="C125" s="69" t="s">
        <v>889</v>
      </c>
      <c r="D125" s="66" t="s">
        <v>890</v>
      </c>
      <c r="E125" s="66" t="s">
        <v>940</v>
      </c>
      <c r="F125" s="68" t="s">
        <v>941</v>
      </c>
      <c r="G125" s="66" t="s">
        <v>932</v>
      </c>
      <c r="H125" s="66" t="s">
        <v>986</v>
      </c>
      <c r="I125" s="67">
        <v>-71230</v>
      </c>
      <c r="J125" s="67"/>
      <c r="K125" s="70" t="s">
        <v>111</v>
      </c>
      <c r="L125" s="160"/>
      <c r="M125" s="160"/>
      <c r="N125" s="160"/>
      <c r="O125" s="162"/>
    </row>
    <row r="126" spans="1:15" ht="15" customHeight="1" x14ac:dyDescent="0.25">
      <c r="A126" s="154" t="s">
        <v>844</v>
      </c>
      <c r="B126" s="69" t="s">
        <v>845</v>
      </c>
      <c r="C126" s="69" t="s">
        <v>889</v>
      </c>
      <c r="D126" s="66" t="s">
        <v>890</v>
      </c>
      <c r="E126" s="66" t="s">
        <v>980</v>
      </c>
      <c r="F126" s="68" t="s">
        <v>981</v>
      </c>
      <c r="G126" s="66" t="s">
        <v>932</v>
      </c>
      <c r="H126" s="66" t="s">
        <v>986</v>
      </c>
      <c r="I126" s="67">
        <v>71354</v>
      </c>
      <c r="J126" s="67"/>
      <c r="K126" s="70" t="s">
        <v>111</v>
      </c>
      <c r="L126" s="160"/>
      <c r="M126" s="160"/>
      <c r="N126" s="160"/>
      <c r="O126" s="161"/>
    </row>
    <row r="127" spans="1:15" ht="15" customHeight="1" x14ac:dyDescent="0.25">
      <c r="A127" s="154" t="s">
        <v>844</v>
      </c>
      <c r="B127" s="66" t="s">
        <v>845</v>
      </c>
      <c r="C127" s="69" t="s">
        <v>889</v>
      </c>
      <c r="D127" s="66" t="s">
        <v>890</v>
      </c>
      <c r="E127" s="66" t="s">
        <v>940</v>
      </c>
      <c r="F127" s="68" t="s">
        <v>941</v>
      </c>
      <c r="G127" s="66" t="s">
        <v>987</v>
      </c>
      <c r="H127" s="66" t="s">
        <v>988</v>
      </c>
      <c r="I127" s="67">
        <v>-143181</v>
      </c>
      <c r="J127" s="67"/>
      <c r="K127" s="70" t="s">
        <v>115</v>
      </c>
      <c r="L127" s="160"/>
      <c r="M127" s="160"/>
      <c r="N127" s="160"/>
      <c r="O127" s="161"/>
    </row>
    <row r="128" spans="1:15" ht="15" customHeight="1" x14ac:dyDescent="0.25">
      <c r="A128" s="154" t="s">
        <v>844</v>
      </c>
      <c r="B128" s="66" t="s">
        <v>845</v>
      </c>
      <c r="C128" s="69" t="s">
        <v>889</v>
      </c>
      <c r="D128" s="66" t="s">
        <v>890</v>
      </c>
      <c r="E128" s="66" t="s">
        <v>924</v>
      </c>
      <c r="F128" s="68" t="s">
        <v>925</v>
      </c>
      <c r="G128" s="66" t="s">
        <v>801</v>
      </c>
      <c r="H128" s="66" t="s">
        <v>802</v>
      </c>
      <c r="I128" s="67">
        <v>33222</v>
      </c>
      <c r="J128" s="67"/>
      <c r="K128" s="70" t="s">
        <v>103</v>
      </c>
      <c r="L128" s="160"/>
      <c r="M128" s="160"/>
      <c r="N128" s="160"/>
      <c r="O128" s="162"/>
    </row>
    <row r="129" spans="1:15" ht="15" customHeight="1" x14ac:dyDescent="0.25">
      <c r="A129" s="154" t="s">
        <v>844</v>
      </c>
      <c r="B129" s="66" t="s">
        <v>845</v>
      </c>
      <c r="C129" s="69" t="s">
        <v>889</v>
      </c>
      <c r="D129" s="66" t="s">
        <v>890</v>
      </c>
      <c r="E129" s="66" t="s">
        <v>893</v>
      </c>
      <c r="F129" s="68" t="s">
        <v>894</v>
      </c>
      <c r="G129" s="66" t="s">
        <v>801</v>
      </c>
      <c r="H129" s="66" t="s">
        <v>802</v>
      </c>
      <c r="I129" s="67">
        <v>10601237</v>
      </c>
      <c r="J129" s="67"/>
      <c r="K129" s="70" t="s">
        <v>103</v>
      </c>
      <c r="L129" s="160"/>
      <c r="M129" s="160"/>
      <c r="N129" s="160"/>
      <c r="O129" s="161"/>
    </row>
    <row r="130" spans="1:15" ht="15" customHeight="1" x14ac:dyDescent="0.25">
      <c r="A130" s="154" t="s">
        <v>844</v>
      </c>
      <c r="B130" s="66" t="s">
        <v>845</v>
      </c>
      <c r="C130" s="69" t="s">
        <v>889</v>
      </c>
      <c r="D130" s="66" t="s">
        <v>890</v>
      </c>
      <c r="E130" s="66" t="s">
        <v>799</v>
      </c>
      <c r="F130" s="68" t="s">
        <v>800</v>
      </c>
      <c r="G130" s="66" t="s">
        <v>801</v>
      </c>
      <c r="H130" s="66" t="s">
        <v>802</v>
      </c>
      <c r="I130" s="67">
        <v>3274</v>
      </c>
      <c r="J130" s="67"/>
      <c r="K130" s="70" t="s">
        <v>103</v>
      </c>
      <c r="L130" s="160"/>
      <c r="M130" s="160"/>
      <c r="N130" s="160"/>
      <c r="O130" s="162"/>
    </row>
    <row r="131" spans="1:15" ht="15" customHeight="1" x14ac:dyDescent="0.25">
      <c r="A131" s="154" t="s">
        <v>844</v>
      </c>
      <c r="B131" s="66" t="s">
        <v>845</v>
      </c>
      <c r="C131" s="69" t="s">
        <v>889</v>
      </c>
      <c r="D131" s="66" t="s">
        <v>890</v>
      </c>
      <c r="E131" s="66" t="s">
        <v>998</v>
      </c>
      <c r="F131" s="68" t="s">
        <v>999</v>
      </c>
      <c r="G131" s="66" t="s">
        <v>801</v>
      </c>
      <c r="H131" s="66" t="s">
        <v>802</v>
      </c>
      <c r="I131" s="67">
        <v>32853</v>
      </c>
      <c r="J131" s="67"/>
      <c r="K131" s="70" t="s">
        <v>103</v>
      </c>
      <c r="L131" s="160"/>
      <c r="M131" s="160"/>
      <c r="N131" s="160"/>
      <c r="O131" s="161"/>
    </row>
    <row r="132" spans="1:15" ht="15" customHeight="1" x14ac:dyDescent="0.25">
      <c r="A132" s="154" t="s">
        <v>844</v>
      </c>
      <c r="B132" s="66" t="s">
        <v>845</v>
      </c>
      <c r="C132" s="69" t="s">
        <v>889</v>
      </c>
      <c r="D132" s="66" t="s">
        <v>890</v>
      </c>
      <c r="E132" s="66" t="s">
        <v>896</v>
      </c>
      <c r="F132" s="68" t="s">
        <v>897</v>
      </c>
      <c r="G132" s="66" t="s">
        <v>801</v>
      </c>
      <c r="H132" s="66" t="s">
        <v>802</v>
      </c>
      <c r="I132" s="67">
        <v>538296</v>
      </c>
      <c r="J132" s="67"/>
      <c r="K132" s="70" t="s">
        <v>103</v>
      </c>
      <c r="L132" s="160"/>
      <c r="M132" s="160"/>
      <c r="N132" s="160"/>
      <c r="O132" s="162"/>
    </row>
    <row r="133" spans="1:15" ht="15" customHeight="1" x14ac:dyDescent="0.25">
      <c r="A133" s="154" t="s">
        <v>844</v>
      </c>
      <c r="B133" s="66" t="s">
        <v>845</v>
      </c>
      <c r="C133" s="69" t="s">
        <v>889</v>
      </c>
      <c r="D133" s="66" t="s">
        <v>890</v>
      </c>
      <c r="E133" s="66" t="s">
        <v>968</v>
      </c>
      <c r="F133" s="68" t="s">
        <v>969</v>
      </c>
      <c r="G133" s="66" t="s">
        <v>801</v>
      </c>
      <c r="H133" s="66" t="s">
        <v>802</v>
      </c>
      <c r="I133" s="67">
        <v>125845</v>
      </c>
      <c r="J133" s="67"/>
      <c r="K133" s="70" t="s">
        <v>103</v>
      </c>
      <c r="L133" s="160"/>
      <c r="M133" s="160"/>
      <c r="N133" s="160"/>
      <c r="O133" s="161"/>
    </row>
    <row r="134" spans="1:15" ht="15" customHeight="1" x14ac:dyDescent="0.25">
      <c r="A134" s="154" t="s">
        <v>844</v>
      </c>
      <c r="B134" s="66" t="s">
        <v>845</v>
      </c>
      <c r="C134" s="69" t="s">
        <v>889</v>
      </c>
      <c r="D134" s="66" t="s">
        <v>890</v>
      </c>
      <c r="E134" s="66" t="s">
        <v>898</v>
      </c>
      <c r="F134" s="68" t="s">
        <v>899</v>
      </c>
      <c r="G134" s="66" t="s">
        <v>801</v>
      </c>
      <c r="H134" s="66" t="s">
        <v>802</v>
      </c>
      <c r="I134" s="67">
        <v>14361</v>
      </c>
      <c r="J134" s="67"/>
      <c r="K134" s="70" t="s">
        <v>103</v>
      </c>
      <c r="L134" s="160"/>
      <c r="M134" s="160"/>
      <c r="N134" s="160"/>
      <c r="O134" s="162"/>
    </row>
    <row r="135" spans="1:15" ht="15" customHeight="1" x14ac:dyDescent="0.25">
      <c r="A135" s="154" t="s">
        <v>844</v>
      </c>
      <c r="B135" s="66" t="s">
        <v>845</v>
      </c>
      <c r="C135" s="69" t="s">
        <v>889</v>
      </c>
      <c r="D135" s="66" t="s">
        <v>890</v>
      </c>
      <c r="E135" s="66" t="s">
        <v>900</v>
      </c>
      <c r="F135" s="68" t="s">
        <v>901</v>
      </c>
      <c r="G135" s="66" t="s">
        <v>801</v>
      </c>
      <c r="H135" s="66" t="s">
        <v>802</v>
      </c>
      <c r="I135" s="67">
        <v>64708</v>
      </c>
      <c r="J135" s="67"/>
      <c r="K135" s="70" t="s">
        <v>103</v>
      </c>
      <c r="L135" s="160"/>
      <c r="M135" s="160"/>
      <c r="N135" s="160"/>
      <c r="O135" s="161"/>
    </row>
    <row r="136" spans="1:15" ht="15" customHeight="1" x14ac:dyDescent="0.25">
      <c r="A136" s="154" t="s">
        <v>844</v>
      </c>
      <c r="B136" s="66" t="s">
        <v>845</v>
      </c>
      <c r="C136" s="69" t="s">
        <v>889</v>
      </c>
      <c r="D136" s="66" t="s">
        <v>890</v>
      </c>
      <c r="E136" s="66" t="s">
        <v>902</v>
      </c>
      <c r="F136" s="68" t="s">
        <v>903</v>
      </c>
      <c r="G136" s="66" t="s">
        <v>801</v>
      </c>
      <c r="H136" s="66" t="s">
        <v>802</v>
      </c>
      <c r="I136" s="67">
        <v>15879</v>
      </c>
      <c r="J136" s="67"/>
      <c r="K136" s="70" t="s">
        <v>103</v>
      </c>
      <c r="L136" s="160"/>
      <c r="M136" s="160"/>
      <c r="N136" s="160"/>
      <c r="O136" s="162"/>
    </row>
    <row r="137" spans="1:15" ht="15" customHeight="1" x14ac:dyDescent="0.25">
      <c r="A137" s="154" t="s">
        <v>844</v>
      </c>
      <c r="B137" s="66" t="s">
        <v>845</v>
      </c>
      <c r="C137" s="69" t="s">
        <v>889</v>
      </c>
      <c r="D137" s="66" t="s">
        <v>890</v>
      </c>
      <c r="E137" s="66" t="s">
        <v>904</v>
      </c>
      <c r="F137" s="68" t="s">
        <v>905</v>
      </c>
      <c r="G137" s="66" t="s">
        <v>801</v>
      </c>
      <c r="H137" s="66" t="s">
        <v>802</v>
      </c>
      <c r="I137" s="67">
        <v>167068</v>
      </c>
      <c r="J137" s="67"/>
      <c r="K137" s="70" t="s">
        <v>103</v>
      </c>
      <c r="L137" s="160"/>
      <c r="M137" s="160"/>
      <c r="N137" s="160"/>
      <c r="O137" s="161"/>
    </row>
    <row r="138" spans="1:15" ht="15" customHeight="1" x14ac:dyDescent="0.25">
      <c r="A138" s="154" t="s">
        <v>844</v>
      </c>
      <c r="B138" s="66" t="s">
        <v>845</v>
      </c>
      <c r="C138" s="69" t="s">
        <v>889</v>
      </c>
      <c r="D138" s="66" t="s">
        <v>890</v>
      </c>
      <c r="E138" s="66" t="s">
        <v>964</v>
      </c>
      <c r="F138" s="68" t="s">
        <v>965</v>
      </c>
      <c r="G138" s="66" t="s">
        <v>801</v>
      </c>
      <c r="H138" s="66" t="s">
        <v>802</v>
      </c>
      <c r="I138" s="67">
        <v>1419</v>
      </c>
      <c r="J138" s="67"/>
      <c r="K138" s="70" t="s">
        <v>103</v>
      </c>
      <c r="L138" s="160"/>
      <c r="M138" s="160"/>
      <c r="N138" s="160"/>
      <c r="O138" s="162"/>
    </row>
    <row r="139" spans="1:15" ht="15" customHeight="1" x14ac:dyDescent="0.25">
      <c r="A139" s="154" t="s">
        <v>844</v>
      </c>
      <c r="B139" s="66" t="s">
        <v>845</v>
      </c>
      <c r="C139" s="69" t="s">
        <v>889</v>
      </c>
      <c r="D139" s="66" t="s">
        <v>890</v>
      </c>
      <c r="E139" s="66" t="s">
        <v>936</v>
      </c>
      <c r="F139" s="68" t="s">
        <v>937</v>
      </c>
      <c r="G139" s="66" t="s">
        <v>801</v>
      </c>
      <c r="H139" s="66" t="s">
        <v>802</v>
      </c>
      <c r="I139" s="67">
        <v>106257</v>
      </c>
      <c r="J139" s="67"/>
      <c r="K139" s="70" t="s">
        <v>103</v>
      </c>
      <c r="L139" s="160"/>
      <c r="M139" s="160"/>
      <c r="N139" s="160"/>
      <c r="O139" s="161"/>
    </row>
    <row r="140" spans="1:15" ht="15" customHeight="1" x14ac:dyDescent="0.25">
      <c r="A140" s="154" t="s">
        <v>844</v>
      </c>
      <c r="B140" s="66" t="s">
        <v>845</v>
      </c>
      <c r="C140" s="69" t="s">
        <v>889</v>
      </c>
      <c r="D140" s="66" t="s">
        <v>890</v>
      </c>
      <c r="E140" s="66" t="s">
        <v>1000</v>
      </c>
      <c r="F140" s="68" t="s">
        <v>1001</v>
      </c>
      <c r="G140" s="66" t="s">
        <v>801</v>
      </c>
      <c r="H140" s="66" t="s">
        <v>802</v>
      </c>
      <c r="I140" s="67">
        <v>125487</v>
      </c>
      <c r="J140" s="67"/>
      <c r="K140" s="70" t="s">
        <v>115</v>
      </c>
      <c r="L140" s="160"/>
      <c r="M140" s="160"/>
      <c r="N140" s="160"/>
      <c r="O140" s="162"/>
    </row>
    <row r="141" spans="1:15" ht="15" customHeight="1" x14ac:dyDescent="0.25">
      <c r="A141" s="154" t="s">
        <v>844</v>
      </c>
      <c r="B141" s="66" t="s">
        <v>845</v>
      </c>
      <c r="C141" s="69" t="s">
        <v>889</v>
      </c>
      <c r="D141" s="66" t="s">
        <v>890</v>
      </c>
      <c r="E141" s="66" t="s">
        <v>906</v>
      </c>
      <c r="F141" s="68" t="s">
        <v>907</v>
      </c>
      <c r="G141" s="66" t="s">
        <v>801</v>
      </c>
      <c r="H141" s="66" t="s">
        <v>802</v>
      </c>
      <c r="I141" s="67">
        <v>148</v>
      </c>
      <c r="J141" s="67"/>
      <c r="K141" s="70" t="s">
        <v>103</v>
      </c>
      <c r="L141" s="160"/>
      <c r="M141" s="160"/>
      <c r="N141" s="160"/>
      <c r="O141" s="161"/>
    </row>
    <row r="142" spans="1:15" ht="15" customHeight="1" x14ac:dyDescent="0.25">
      <c r="A142" s="154" t="s">
        <v>844</v>
      </c>
      <c r="B142" s="66" t="s">
        <v>845</v>
      </c>
      <c r="C142" s="69" t="s">
        <v>889</v>
      </c>
      <c r="D142" s="66" t="s">
        <v>890</v>
      </c>
      <c r="E142" s="66" t="s">
        <v>807</v>
      </c>
      <c r="F142" s="68" t="s">
        <v>808</v>
      </c>
      <c r="G142" s="66" t="s">
        <v>801</v>
      </c>
      <c r="H142" s="66" t="s">
        <v>802</v>
      </c>
      <c r="I142" s="67">
        <v>1799289</v>
      </c>
      <c r="J142" s="67"/>
      <c r="K142" s="70" t="s">
        <v>104</v>
      </c>
      <c r="L142" s="160"/>
      <c r="M142" s="160"/>
      <c r="N142" s="160"/>
      <c r="O142" s="162"/>
    </row>
    <row r="143" spans="1:15" ht="15" customHeight="1" x14ac:dyDescent="0.25">
      <c r="A143" s="154" t="s">
        <v>844</v>
      </c>
      <c r="B143" s="66" t="s">
        <v>845</v>
      </c>
      <c r="C143" s="69" t="s">
        <v>889</v>
      </c>
      <c r="D143" s="66" t="s">
        <v>890</v>
      </c>
      <c r="E143" s="66" t="s">
        <v>813</v>
      </c>
      <c r="F143" s="68" t="s">
        <v>814</v>
      </c>
      <c r="G143" s="66" t="s">
        <v>801</v>
      </c>
      <c r="H143" s="66" t="s">
        <v>802</v>
      </c>
      <c r="I143" s="67">
        <v>17955</v>
      </c>
      <c r="J143" s="67"/>
      <c r="K143" s="70" t="s">
        <v>103</v>
      </c>
      <c r="L143" s="160"/>
      <c r="M143" s="160"/>
      <c r="N143" s="160"/>
      <c r="O143" s="161"/>
    </row>
    <row r="144" spans="1:15" ht="15" customHeight="1" x14ac:dyDescent="0.25">
      <c r="A144" s="154" t="s">
        <v>844</v>
      </c>
      <c r="B144" s="66" t="s">
        <v>845</v>
      </c>
      <c r="C144" s="69" t="s">
        <v>889</v>
      </c>
      <c r="D144" s="66" t="s">
        <v>890</v>
      </c>
      <c r="E144" s="66" t="s">
        <v>815</v>
      </c>
      <c r="F144" s="68" t="s">
        <v>141</v>
      </c>
      <c r="G144" s="66" t="s">
        <v>801</v>
      </c>
      <c r="H144" s="66" t="s">
        <v>802</v>
      </c>
      <c r="I144" s="67">
        <v>1756438</v>
      </c>
      <c r="J144" s="67"/>
      <c r="K144" s="70" t="s">
        <v>105</v>
      </c>
      <c r="L144" s="160"/>
      <c r="M144" s="160"/>
      <c r="N144" s="160"/>
      <c r="O144" s="162"/>
    </row>
    <row r="145" spans="1:15" ht="15" customHeight="1" x14ac:dyDescent="0.25">
      <c r="A145" s="154" t="s">
        <v>844</v>
      </c>
      <c r="B145" s="66" t="s">
        <v>845</v>
      </c>
      <c r="C145" s="69" t="s">
        <v>889</v>
      </c>
      <c r="D145" s="66" t="s">
        <v>890</v>
      </c>
      <c r="E145" s="66" t="s">
        <v>938</v>
      </c>
      <c r="F145" s="68" t="s">
        <v>939</v>
      </c>
      <c r="G145" s="66" t="s">
        <v>801</v>
      </c>
      <c r="H145" s="66" t="s">
        <v>802</v>
      </c>
      <c r="I145" s="67">
        <v>30411</v>
      </c>
      <c r="J145" s="67"/>
      <c r="K145" s="70" t="s">
        <v>107</v>
      </c>
      <c r="L145" s="160"/>
      <c r="M145" s="160"/>
      <c r="N145" s="160"/>
      <c r="O145" s="161"/>
    </row>
    <row r="146" spans="1:15" ht="15" customHeight="1" x14ac:dyDescent="0.25">
      <c r="A146" s="154" t="s">
        <v>844</v>
      </c>
      <c r="B146" s="66" t="s">
        <v>845</v>
      </c>
      <c r="C146" s="69" t="s">
        <v>889</v>
      </c>
      <c r="D146" s="66" t="s">
        <v>890</v>
      </c>
      <c r="E146" s="66" t="s">
        <v>944</v>
      </c>
      <c r="F146" s="68" t="s">
        <v>945</v>
      </c>
      <c r="G146" s="66" t="s">
        <v>801</v>
      </c>
      <c r="H146" s="66" t="s">
        <v>802</v>
      </c>
      <c r="I146" s="67">
        <v>25487</v>
      </c>
      <c r="J146" s="67"/>
      <c r="K146" s="70" t="s">
        <v>107</v>
      </c>
      <c r="L146" s="160"/>
      <c r="M146" s="160"/>
      <c r="N146" s="160"/>
      <c r="O146" s="162"/>
    </row>
    <row r="147" spans="1:15" ht="15" customHeight="1" x14ac:dyDescent="0.25">
      <c r="A147" s="154" t="s">
        <v>844</v>
      </c>
      <c r="B147" s="66" t="s">
        <v>845</v>
      </c>
      <c r="C147" s="69" t="s">
        <v>889</v>
      </c>
      <c r="D147" s="66" t="s">
        <v>890</v>
      </c>
      <c r="E147" s="66" t="s">
        <v>1002</v>
      </c>
      <c r="F147" s="68" t="s">
        <v>1003</v>
      </c>
      <c r="G147" s="66" t="s">
        <v>801</v>
      </c>
      <c r="H147" s="66" t="s">
        <v>802</v>
      </c>
      <c r="I147" s="67">
        <v>2152</v>
      </c>
      <c r="J147" s="67"/>
      <c r="K147" s="70" t="s">
        <v>107</v>
      </c>
      <c r="L147" s="160"/>
      <c r="M147" s="160"/>
      <c r="N147" s="160"/>
      <c r="O147" s="161"/>
    </row>
    <row r="148" spans="1:15" ht="15" customHeight="1" x14ac:dyDescent="0.25">
      <c r="A148" s="154" t="s">
        <v>844</v>
      </c>
      <c r="B148" s="66" t="s">
        <v>845</v>
      </c>
      <c r="C148" s="69" t="s">
        <v>889</v>
      </c>
      <c r="D148" s="66" t="s">
        <v>890</v>
      </c>
      <c r="E148" s="66" t="s">
        <v>984</v>
      </c>
      <c r="F148" s="68" t="s">
        <v>985</v>
      </c>
      <c r="G148" s="66" t="s">
        <v>801</v>
      </c>
      <c r="H148" s="66" t="s">
        <v>802</v>
      </c>
      <c r="I148" s="67">
        <v>55898</v>
      </c>
      <c r="J148" s="67"/>
      <c r="K148" s="70" t="s">
        <v>107</v>
      </c>
      <c r="L148" s="160"/>
      <c r="M148" s="160"/>
      <c r="N148" s="160"/>
      <c r="O148" s="162"/>
    </row>
    <row r="149" spans="1:15" ht="15" customHeight="1" x14ac:dyDescent="0.25">
      <c r="A149" s="154" t="s">
        <v>844</v>
      </c>
      <c r="B149" s="66" t="s">
        <v>845</v>
      </c>
      <c r="C149" s="69" t="s">
        <v>889</v>
      </c>
      <c r="D149" s="66" t="s">
        <v>890</v>
      </c>
      <c r="E149" s="66" t="s">
        <v>824</v>
      </c>
      <c r="F149" s="68" t="s">
        <v>825</v>
      </c>
      <c r="G149" s="66" t="s">
        <v>801</v>
      </c>
      <c r="H149" s="66" t="s">
        <v>802</v>
      </c>
      <c r="I149" s="67">
        <v>26995</v>
      </c>
      <c r="J149" s="67"/>
      <c r="K149" s="70" t="s">
        <v>107</v>
      </c>
      <c r="L149" s="160"/>
      <c r="M149" s="160"/>
      <c r="N149" s="160"/>
      <c r="O149" s="161"/>
    </row>
    <row r="150" spans="1:15" ht="15" customHeight="1" x14ac:dyDescent="0.25">
      <c r="A150" s="154" t="s">
        <v>844</v>
      </c>
      <c r="B150" s="66" t="s">
        <v>845</v>
      </c>
      <c r="C150" s="69" t="s">
        <v>889</v>
      </c>
      <c r="D150" s="66" t="s">
        <v>890</v>
      </c>
      <c r="E150" s="66" t="s">
        <v>826</v>
      </c>
      <c r="F150" s="68" t="s">
        <v>827</v>
      </c>
      <c r="G150" s="66" t="s">
        <v>801</v>
      </c>
      <c r="H150" s="66" t="s">
        <v>802</v>
      </c>
      <c r="I150" s="67">
        <v>16708</v>
      </c>
      <c r="J150" s="67"/>
      <c r="K150" s="70" t="s">
        <v>107</v>
      </c>
      <c r="L150" s="160"/>
      <c r="M150" s="160"/>
      <c r="N150" s="160"/>
      <c r="O150" s="162"/>
    </row>
    <row r="151" spans="1:15" ht="15" customHeight="1" x14ac:dyDescent="0.25">
      <c r="A151" s="154" t="s">
        <v>844</v>
      </c>
      <c r="B151" s="66" t="s">
        <v>845</v>
      </c>
      <c r="C151" s="69" t="s">
        <v>889</v>
      </c>
      <c r="D151" s="66" t="s">
        <v>890</v>
      </c>
      <c r="E151" s="66" t="s">
        <v>940</v>
      </c>
      <c r="F151" s="68" t="s">
        <v>941</v>
      </c>
      <c r="G151" s="66" t="s">
        <v>801</v>
      </c>
      <c r="H151" s="66" t="s">
        <v>802</v>
      </c>
      <c r="I151" s="67">
        <v>-136338</v>
      </c>
      <c r="J151" s="67"/>
      <c r="K151" s="70" t="s">
        <v>107</v>
      </c>
      <c r="L151" s="160"/>
      <c r="M151" s="160"/>
      <c r="N151" s="160"/>
      <c r="O151" s="161"/>
    </row>
    <row r="152" spans="1:15" ht="15" customHeight="1" x14ac:dyDescent="0.25">
      <c r="A152" s="154" t="s">
        <v>844</v>
      </c>
      <c r="B152" s="66" t="s">
        <v>845</v>
      </c>
      <c r="C152" s="69" t="s">
        <v>889</v>
      </c>
      <c r="D152" s="66" t="s">
        <v>890</v>
      </c>
      <c r="E152" s="66" t="s">
        <v>828</v>
      </c>
      <c r="F152" s="68" t="s">
        <v>829</v>
      </c>
      <c r="G152" s="66" t="s">
        <v>801</v>
      </c>
      <c r="H152" s="66" t="s">
        <v>802</v>
      </c>
      <c r="I152" s="67">
        <v>12599</v>
      </c>
      <c r="J152" s="67"/>
      <c r="K152" s="70" t="s">
        <v>107</v>
      </c>
      <c r="L152" s="160"/>
      <c r="M152" s="160"/>
      <c r="N152" s="160"/>
      <c r="O152" s="162"/>
    </row>
    <row r="153" spans="1:15" ht="15" customHeight="1" x14ac:dyDescent="0.25">
      <c r="A153" s="154" t="s">
        <v>844</v>
      </c>
      <c r="B153" s="66" t="s">
        <v>845</v>
      </c>
      <c r="C153" s="69" t="s">
        <v>889</v>
      </c>
      <c r="D153" s="66" t="s">
        <v>890</v>
      </c>
      <c r="E153" s="66" t="s">
        <v>830</v>
      </c>
      <c r="F153" s="68" t="s">
        <v>831</v>
      </c>
      <c r="G153" s="66" t="s">
        <v>801</v>
      </c>
      <c r="H153" s="66" t="s">
        <v>802</v>
      </c>
      <c r="I153" s="67">
        <v>21828</v>
      </c>
      <c r="J153" s="67"/>
      <c r="K153" s="70" t="s">
        <v>107</v>
      </c>
      <c r="L153" s="160"/>
      <c r="M153" s="160"/>
      <c r="N153" s="160"/>
      <c r="O153" s="161"/>
    </row>
    <row r="154" spans="1:15" ht="15" customHeight="1" x14ac:dyDescent="0.25">
      <c r="A154" s="154" t="s">
        <v>844</v>
      </c>
      <c r="B154" s="66" t="s">
        <v>845</v>
      </c>
      <c r="C154" s="69" t="s">
        <v>889</v>
      </c>
      <c r="D154" s="66" t="s">
        <v>890</v>
      </c>
      <c r="E154" s="66" t="s">
        <v>1004</v>
      </c>
      <c r="F154" s="68" t="s">
        <v>1005</v>
      </c>
      <c r="G154" s="66" t="s">
        <v>801</v>
      </c>
      <c r="H154" s="66" t="s">
        <v>802</v>
      </c>
      <c r="I154" s="67">
        <v>4392</v>
      </c>
      <c r="J154" s="67"/>
      <c r="K154" s="70" t="s">
        <v>107</v>
      </c>
      <c r="L154" s="160"/>
      <c r="M154" s="160"/>
      <c r="N154" s="160"/>
      <c r="O154" s="162"/>
    </row>
    <row r="155" spans="1:15" ht="15" customHeight="1" x14ac:dyDescent="0.25">
      <c r="A155" s="154" t="s">
        <v>844</v>
      </c>
      <c r="B155" s="66" t="s">
        <v>845</v>
      </c>
      <c r="C155" s="69" t="s">
        <v>889</v>
      </c>
      <c r="D155" s="66" t="s">
        <v>890</v>
      </c>
      <c r="E155" s="66" t="s">
        <v>1006</v>
      </c>
      <c r="F155" s="68" t="s">
        <v>1007</v>
      </c>
      <c r="G155" s="66" t="s">
        <v>801</v>
      </c>
      <c r="H155" s="66" t="s">
        <v>802</v>
      </c>
      <c r="I155" s="67">
        <v>-4392</v>
      </c>
      <c r="J155" s="67"/>
      <c r="K155" s="70" t="s">
        <v>107</v>
      </c>
      <c r="L155" s="160"/>
      <c r="M155" s="160"/>
      <c r="N155" s="160"/>
      <c r="O155" s="161"/>
    </row>
    <row r="156" spans="1:15" ht="15" customHeight="1" x14ac:dyDescent="0.25">
      <c r="A156" s="154" t="s">
        <v>844</v>
      </c>
      <c r="B156" s="66" t="s">
        <v>845</v>
      </c>
      <c r="C156" s="69" t="s">
        <v>889</v>
      </c>
      <c r="D156" s="66" t="s">
        <v>890</v>
      </c>
      <c r="E156" s="66" t="s">
        <v>836</v>
      </c>
      <c r="F156" s="68" t="s">
        <v>837</v>
      </c>
      <c r="G156" s="66" t="s">
        <v>801</v>
      </c>
      <c r="H156" s="66" t="s">
        <v>802</v>
      </c>
      <c r="I156" s="67">
        <v>11250</v>
      </c>
      <c r="J156" s="67"/>
      <c r="K156" s="70" t="s">
        <v>107</v>
      </c>
      <c r="L156" s="160"/>
      <c r="M156" s="160"/>
      <c r="N156" s="160"/>
      <c r="O156" s="162"/>
    </row>
    <row r="157" spans="1:15" ht="15" customHeight="1" x14ac:dyDescent="0.25">
      <c r="A157" s="154" t="s">
        <v>844</v>
      </c>
      <c r="B157" s="66" t="s">
        <v>845</v>
      </c>
      <c r="C157" s="69" t="s">
        <v>889</v>
      </c>
      <c r="D157" s="66" t="s">
        <v>890</v>
      </c>
      <c r="E157" s="66" t="s">
        <v>910</v>
      </c>
      <c r="F157" s="68" t="s">
        <v>911</v>
      </c>
      <c r="G157" s="66" t="s">
        <v>801</v>
      </c>
      <c r="H157" s="66" t="s">
        <v>802</v>
      </c>
      <c r="I157" s="67">
        <v>89</v>
      </c>
      <c r="J157" s="67"/>
      <c r="K157" s="70" t="s">
        <v>107</v>
      </c>
      <c r="L157" s="160"/>
      <c r="M157" s="160"/>
      <c r="N157" s="160"/>
      <c r="O157" s="161"/>
    </row>
    <row r="158" spans="1:15" ht="15" customHeight="1" x14ac:dyDescent="0.25">
      <c r="A158" s="154" t="s">
        <v>844</v>
      </c>
      <c r="B158" s="66" t="s">
        <v>845</v>
      </c>
      <c r="C158" s="69" t="s">
        <v>889</v>
      </c>
      <c r="D158" s="66" t="s">
        <v>890</v>
      </c>
      <c r="E158" s="66" t="s">
        <v>912</v>
      </c>
      <c r="F158" s="68" t="s">
        <v>913</v>
      </c>
      <c r="G158" s="66" t="s">
        <v>801</v>
      </c>
      <c r="H158" s="66" t="s">
        <v>802</v>
      </c>
      <c r="I158" s="67">
        <v>444</v>
      </c>
      <c r="J158" s="67"/>
      <c r="K158" s="70" t="s">
        <v>107</v>
      </c>
      <c r="L158" s="160"/>
      <c r="M158" s="160"/>
      <c r="N158" s="160"/>
      <c r="O158" s="162"/>
    </row>
    <row r="159" spans="1:15" ht="15" customHeight="1" x14ac:dyDescent="0.25">
      <c r="A159" s="154" t="s">
        <v>844</v>
      </c>
      <c r="B159" s="66" t="s">
        <v>845</v>
      </c>
      <c r="C159" s="69" t="s">
        <v>889</v>
      </c>
      <c r="D159" s="66" t="s">
        <v>890</v>
      </c>
      <c r="E159" s="66" t="s">
        <v>861</v>
      </c>
      <c r="F159" s="68" t="s">
        <v>862</v>
      </c>
      <c r="G159" s="66" t="s">
        <v>801</v>
      </c>
      <c r="H159" s="66" t="s">
        <v>802</v>
      </c>
      <c r="I159" s="67">
        <v>14307</v>
      </c>
      <c r="J159" s="67"/>
      <c r="K159" s="70" t="s">
        <v>107</v>
      </c>
      <c r="L159" s="160"/>
      <c r="M159" s="160"/>
      <c r="N159" s="160"/>
      <c r="O159" s="161"/>
    </row>
    <row r="160" spans="1:15" ht="15" customHeight="1" x14ac:dyDescent="0.25">
      <c r="A160" s="154" t="s">
        <v>844</v>
      </c>
      <c r="B160" s="66" t="s">
        <v>845</v>
      </c>
      <c r="C160" s="69" t="s">
        <v>889</v>
      </c>
      <c r="D160" s="66" t="s">
        <v>890</v>
      </c>
      <c r="E160" s="66" t="s">
        <v>865</v>
      </c>
      <c r="F160" s="68" t="s">
        <v>866</v>
      </c>
      <c r="G160" s="66" t="s">
        <v>801</v>
      </c>
      <c r="H160" s="66" t="s">
        <v>802</v>
      </c>
      <c r="I160" s="67">
        <v>125</v>
      </c>
      <c r="J160" s="67"/>
      <c r="K160" s="70" t="s">
        <v>107</v>
      </c>
      <c r="L160" s="160"/>
      <c r="M160" s="160"/>
      <c r="N160" s="160"/>
      <c r="O160" s="162"/>
    </row>
    <row r="161" spans="1:15" ht="15" customHeight="1" x14ac:dyDescent="0.25">
      <c r="A161" s="154" t="s">
        <v>844</v>
      </c>
      <c r="B161" s="66" t="s">
        <v>845</v>
      </c>
      <c r="C161" s="69" t="s">
        <v>889</v>
      </c>
      <c r="D161" s="66" t="s">
        <v>890</v>
      </c>
      <c r="E161" s="66" t="s">
        <v>867</v>
      </c>
      <c r="F161" s="68" t="s">
        <v>868</v>
      </c>
      <c r="G161" s="66" t="s">
        <v>801</v>
      </c>
      <c r="H161" s="66" t="s">
        <v>802</v>
      </c>
      <c r="I161" s="67">
        <v>7923</v>
      </c>
      <c r="J161" s="67"/>
      <c r="K161" s="70" t="s">
        <v>107</v>
      </c>
      <c r="L161" s="160"/>
      <c r="M161" s="160"/>
      <c r="N161" s="160"/>
      <c r="O161" s="161"/>
    </row>
    <row r="162" spans="1:15" ht="15" customHeight="1" x14ac:dyDescent="0.25">
      <c r="A162" s="154" t="s">
        <v>844</v>
      </c>
      <c r="B162" s="66" t="s">
        <v>845</v>
      </c>
      <c r="C162" s="69" t="s">
        <v>889</v>
      </c>
      <c r="D162" s="66" t="s">
        <v>890</v>
      </c>
      <c r="E162" s="66" t="s">
        <v>946</v>
      </c>
      <c r="F162" s="68" t="s">
        <v>947</v>
      </c>
      <c r="G162" s="66" t="s">
        <v>801</v>
      </c>
      <c r="H162" s="66" t="s">
        <v>802</v>
      </c>
      <c r="I162" s="67">
        <v>42830</v>
      </c>
      <c r="J162" s="67"/>
      <c r="K162" s="70" t="s">
        <v>107</v>
      </c>
      <c r="L162" s="160"/>
      <c r="M162" s="160"/>
      <c r="N162" s="160"/>
      <c r="O162" s="162"/>
    </row>
    <row r="163" spans="1:15" ht="15" customHeight="1" x14ac:dyDescent="0.25">
      <c r="A163" s="154" t="s">
        <v>844</v>
      </c>
      <c r="B163" s="66" t="s">
        <v>845</v>
      </c>
      <c r="C163" s="69" t="s">
        <v>889</v>
      </c>
      <c r="D163" s="66" t="s">
        <v>890</v>
      </c>
      <c r="E163" s="66" t="s">
        <v>1008</v>
      </c>
      <c r="F163" s="68" t="s">
        <v>1009</v>
      </c>
      <c r="G163" s="66" t="s">
        <v>801</v>
      </c>
      <c r="H163" s="66" t="s">
        <v>802</v>
      </c>
      <c r="I163" s="67">
        <v>318</v>
      </c>
      <c r="J163" s="67"/>
      <c r="K163" s="70" t="s">
        <v>107</v>
      </c>
      <c r="L163" s="160"/>
      <c r="M163" s="160"/>
      <c r="N163" s="160"/>
      <c r="O163" s="161"/>
    </row>
    <row r="164" spans="1:15" ht="15" customHeight="1" x14ac:dyDescent="0.25">
      <c r="A164" s="154" t="s">
        <v>844</v>
      </c>
      <c r="B164" s="66" t="s">
        <v>845</v>
      </c>
      <c r="C164" s="69" t="s">
        <v>889</v>
      </c>
      <c r="D164" s="66" t="s">
        <v>890</v>
      </c>
      <c r="E164" s="66" t="s">
        <v>879</v>
      </c>
      <c r="F164" s="68" t="s">
        <v>880</v>
      </c>
      <c r="G164" s="66" t="s">
        <v>801</v>
      </c>
      <c r="H164" s="66" t="s">
        <v>802</v>
      </c>
      <c r="I164" s="67">
        <v>60564</v>
      </c>
      <c r="J164" s="67"/>
      <c r="K164" s="70" t="s">
        <v>108</v>
      </c>
      <c r="L164" s="160"/>
      <c r="M164" s="160"/>
      <c r="N164" s="160"/>
      <c r="O164" s="162"/>
    </row>
    <row r="165" spans="1:15" ht="15" customHeight="1" x14ac:dyDescent="0.25">
      <c r="A165" s="154" t="s">
        <v>844</v>
      </c>
      <c r="B165" s="66" t="s">
        <v>845</v>
      </c>
      <c r="C165" s="69" t="s">
        <v>889</v>
      </c>
      <c r="D165" s="66" t="s">
        <v>890</v>
      </c>
      <c r="E165" s="66" t="s">
        <v>1010</v>
      </c>
      <c r="F165" s="68" t="s">
        <v>1011</v>
      </c>
      <c r="G165" s="66" t="s">
        <v>801</v>
      </c>
      <c r="H165" s="66" t="s">
        <v>802</v>
      </c>
      <c r="I165" s="67">
        <v>164</v>
      </c>
      <c r="J165" s="67"/>
      <c r="K165" s="70" t="s">
        <v>107</v>
      </c>
      <c r="L165" s="160"/>
      <c r="M165" s="160"/>
      <c r="N165" s="160"/>
      <c r="O165" s="161"/>
    </row>
    <row r="166" spans="1:15" ht="15" customHeight="1" x14ac:dyDescent="0.25">
      <c r="A166" s="154" t="s">
        <v>844</v>
      </c>
      <c r="B166" s="66" t="s">
        <v>845</v>
      </c>
      <c r="C166" s="69" t="s">
        <v>889</v>
      </c>
      <c r="D166" s="66" t="s">
        <v>890</v>
      </c>
      <c r="E166" s="66" t="s">
        <v>980</v>
      </c>
      <c r="F166" s="68" t="s">
        <v>981</v>
      </c>
      <c r="G166" s="66" t="s">
        <v>801</v>
      </c>
      <c r="H166" s="66" t="s">
        <v>802</v>
      </c>
      <c r="I166" s="67">
        <v>-929786</v>
      </c>
      <c r="J166" s="67"/>
      <c r="K166" s="70" t="s">
        <v>111</v>
      </c>
      <c r="L166" s="160"/>
      <c r="M166" s="160"/>
      <c r="N166" s="160"/>
      <c r="O166" s="162"/>
    </row>
    <row r="167" spans="1:15" ht="15" customHeight="1" x14ac:dyDescent="0.25">
      <c r="A167" s="154" t="s">
        <v>844</v>
      </c>
      <c r="B167" s="66" t="s">
        <v>845</v>
      </c>
      <c r="C167" s="69" t="s">
        <v>889</v>
      </c>
      <c r="D167" s="66" t="s">
        <v>890</v>
      </c>
      <c r="E167" s="66" t="s">
        <v>885</v>
      </c>
      <c r="F167" s="68" t="s">
        <v>886</v>
      </c>
      <c r="G167" s="66" t="s">
        <v>801</v>
      </c>
      <c r="H167" s="66" t="s">
        <v>802</v>
      </c>
      <c r="I167" s="67">
        <v>-494016</v>
      </c>
      <c r="J167" s="67"/>
      <c r="K167" s="70" t="s">
        <v>109</v>
      </c>
      <c r="L167" s="160"/>
      <c r="M167" s="160"/>
      <c r="N167" s="160"/>
      <c r="O167" s="161"/>
    </row>
    <row r="168" spans="1:15" ht="15" customHeight="1" x14ac:dyDescent="0.25">
      <c r="A168" s="154" t="s">
        <v>844</v>
      </c>
      <c r="B168" s="66" t="s">
        <v>845</v>
      </c>
      <c r="C168" s="69" t="s">
        <v>889</v>
      </c>
      <c r="D168" s="66" t="s">
        <v>890</v>
      </c>
      <c r="E168" s="66" t="s">
        <v>1012</v>
      </c>
      <c r="F168" s="68" t="s">
        <v>1013</v>
      </c>
      <c r="G168" s="66" t="s">
        <v>801</v>
      </c>
      <c r="H168" s="66" t="s">
        <v>802</v>
      </c>
      <c r="I168" s="67">
        <v>-457028</v>
      </c>
      <c r="J168" s="67"/>
      <c r="K168" s="70" t="s">
        <v>109</v>
      </c>
      <c r="L168" s="160"/>
      <c r="M168" s="160"/>
      <c r="N168" s="160"/>
      <c r="O168" s="162"/>
    </row>
    <row r="169" spans="1:15" ht="15" customHeight="1" x14ac:dyDescent="0.25">
      <c r="A169" s="154" t="s">
        <v>844</v>
      </c>
      <c r="B169" s="66" t="s">
        <v>845</v>
      </c>
      <c r="C169" s="69" t="s">
        <v>889</v>
      </c>
      <c r="D169" s="66" t="s">
        <v>890</v>
      </c>
      <c r="E169" s="66" t="s">
        <v>887</v>
      </c>
      <c r="F169" s="68" t="s">
        <v>888</v>
      </c>
      <c r="G169" s="66" t="s">
        <v>801</v>
      </c>
      <c r="H169" s="66" t="s">
        <v>802</v>
      </c>
      <c r="I169" s="67">
        <v>-60564</v>
      </c>
      <c r="J169" s="67"/>
      <c r="K169" s="70" t="s">
        <v>110</v>
      </c>
      <c r="L169" s="160"/>
      <c r="M169" s="160"/>
      <c r="N169" s="160"/>
      <c r="O169" s="161"/>
    </row>
    <row r="170" spans="1:15" ht="15" customHeight="1" x14ac:dyDescent="0.25">
      <c r="A170" s="154" t="s">
        <v>816</v>
      </c>
      <c r="B170" s="69" t="s">
        <v>817</v>
      </c>
      <c r="C170" s="69" t="s">
        <v>889</v>
      </c>
      <c r="D170" s="66" t="s">
        <v>890</v>
      </c>
      <c r="E170" s="66" t="s">
        <v>944</v>
      </c>
      <c r="F170" s="67" t="s">
        <v>945</v>
      </c>
      <c r="G170" s="66" t="s">
        <v>820</v>
      </c>
      <c r="H170" s="66" t="s">
        <v>821</v>
      </c>
      <c r="I170" s="67">
        <v>305</v>
      </c>
      <c r="J170" s="67"/>
      <c r="K170" s="70" t="s">
        <v>113</v>
      </c>
      <c r="L170" s="160"/>
      <c r="M170" s="160"/>
      <c r="N170" s="160"/>
      <c r="O170" s="161" t="s">
        <v>821</v>
      </c>
    </row>
    <row r="171" spans="1:15" ht="15" customHeight="1" x14ac:dyDescent="0.25">
      <c r="A171" s="154" t="s">
        <v>816</v>
      </c>
      <c r="B171" s="69" t="s">
        <v>817</v>
      </c>
      <c r="C171" s="69" t="s">
        <v>889</v>
      </c>
      <c r="D171" s="66" t="s">
        <v>890</v>
      </c>
      <c r="E171" s="66" t="s">
        <v>879</v>
      </c>
      <c r="F171" s="67" t="s">
        <v>880</v>
      </c>
      <c r="G171" s="66" t="s">
        <v>820</v>
      </c>
      <c r="H171" s="66" t="s">
        <v>821</v>
      </c>
      <c r="I171" s="67">
        <v>76</v>
      </c>
      <c r="J171" s="67"/>
      <c r="K171" s="70" t="s">
        <v>113</v>
      </c>
      <c r="L171" s="160"/>
      <c r="M171" s="160"/>
      <c r="N171" s="160"/>
      <c r="O171" s="162" t="s">
        <v>821</v>
      </c>
    </row>
    <row r="172" spans="1:15" ht="15" customHeight="1" x14ac:dyDescent="0.25">
      <c r="A172" s="154" t="s">
        <v>816</v>
      </c>
      <c r="B172" s="69" t="s">
        <v>817</v>
      </c>
      <c r="C172" s="69" t="s">
        <v>889</v>
      </c>
      <c r="D172" s="66" t="s">
        <v>890</v>
      </c>
      <c r="E172" s="66" t="s">
        <v>887</v>
      </c>
      <c r="F172" s="67" t="s">
        <v>888</v>
      </c>
      <c r="G172" s="66" t="s">
        <v>820</v>
      </c>
      <c r="H172" s="66" t="s">
        <v>821</v>
      </c>
      <c r="I172" s="67">
        <v>-76</v>
      </c>
      <c r="J172" s="67"/>
      <c r="K172" s="70" t="s">
        <v>113</v>
      </c>
      <c r="L172" s="160"/>
      <c r="M172" s="160"/>
      <c r="N172" s="160"/>
      <c r="O172" s="161" t="s">
        <v>821</v>
      </c>
    </row>
    <row r="173" spans="1:15" ht="15" customHeight="1" x14ac:dyDescent="0.25">
      <c r="A173" s="154" t="s">
        <v>816</v>
      </c>
      <c r="B173" s="69" t="s">
        <v>817</v>
      </c>
      <c r="C173" s="69" t="s">
        <v>889</v>
      </c>
      <c r="D173" s="66" t="s">
        <v>890</v>
      </c>
      <c r="E173" s="66" t="s">
        <v>896</v>
      </c>
      <c r="F173" s="68" t="s">
        <v>897</v>
      </c>
      <c r="G173" s="66" t="s">
        <v>952</v>
      </c>
      <c r="H173" s="66" t="s">
        <v>953</v>
      </c>
      <c r="I173" s="67">
        <v>3420</v>
      </c>
      <c r="J173" s="67"/>
      <c r="K173" s="70" t="s">
        <v>113</v>
      </c>
      <c r="L173" s="160"/>
      <c r="M173" s="160"/>
      <c r="N173" s="160"/>
      <c r="O173" s="162" t="s">
        <v>953</v>
      </c>
    </row>
    <row r="174" spans="1:15" ht="15" customHeight="1" x14ac:dyDescent="0.25">
      <c r="A174" s="154" t="s">
        <v>816</v>
      </c>
      <c r="B174" s="69" t="s">
        <v>817</v>
      </c>
      <c r="C174" s="69" t="s">
        <v>889</v>
      </c>
      <c r="D174" s="66" t="s">
        <v>890</v>
      </c>
      <c r="E174" s="66" t="s">
        <v>964</v>
      </c>
      <c r="F174" s="68" t="s">
        <v>965</v>
      </c>
      <c r="G174" s="66" t="s">
        <v>952</v>
      </c>
      <c r="H174" s="66" t="s">
        <v>953</v>
      </c>
      <c r="I174" s="67">
        <v>36</v>
      </c>
      <c r="J174" s="67"/>
      <c r="K174" s="70" t="s">
        <v>113</v>
      </c>
      <c r="L174" s="160"/>
      <c r="M174" s="160"/>
      <c r="N174" s="160"/>
      <c r="O174" s="161" t="s">
        <v>953</v>
      </c>
    </row>
    <row r="175" spans="1:15" ht="15" customHeight="1" x14ac:dyDescent="0.25">
      <c r="A175" s="154" t="s">
        <v>816</v>
      </c>
      <c r="B175" s="69" t="s">
        <v>817</v>
      </c>
      <c r="C175" s="69" t="s">
        <v>889</v>
      </c>
      <c r="D175" s="66" t="s">
        <v>890</v>
      </c>
      <c r="E175" s="66" t="s">
        <v>936</v>
      </c>
      <c r="F175" s="68" t="s">
        <v>937</v>
      </c>
      <c r="G175" s="66" t="s">
        <v>952</v>
      </c>
      <c r="H175" s="66" t="s">
        <v>953</v>
      </c>
      <c r="I175" s="67">
        <v>6566</v>
      </c>
      <c r="J175" s="67"/>
      <c r="K175" s="70" t="s">
        <v>113</v>
      </c>
      <c r="L175" s="160"/>
      <c r="M175" s="160"/>
      <c r="N175" s="160"/>
      <c r="O175" s="162" t="s">
        <v>953</v>
      </c>
    </row>
    <row r="176" spans="1:15" ht="15" customHeight="1" x14ac:dyDescent="0.25">
      <c r="A176" s="154" t="s">
        <v>816</v>
      </c>
      <c r="B176" s="69" t="s">
        <v>817</v>
      </c>
      <c r="C176" s="69" t="s">
        <v>889</v>
      </c>
      <c r="D176" s="66" t="s">
        <v>890</v>
      </c>
      <c r="E176" s="66" t="s">
        <v>906</v>
      </c>
      <c r="F176" s="68" t="s">
        <v>907</v>
      </c>
      <c r="G176" s="66" t="s">
        <v>952</v>
      </c>
      <c r="H176" s="66" t="s">
        <v>953</v>
      </c>
      <c r="I176" s="67">
        <v>64</v>
      </c>
      <c r="J176" s="67"/>
      <c r="K176" s="70" t="s">
        <v>113</v>
      </c>
      <c r="L176" s="160"/>
      <c r="M176" s="160"/>
      <c r="N176" s="160"/>
      <c r="O176" s="161" t="s">
        <v>953</v>
      </c>
    </row>
    <row r="177" spans="1:15" ht="15" customHeight="1" x14ac:dyDescent="0.25">
      <c r="A177" s="154" t="s">
        <v>816</v>
      </c>
      <c r="B177" s="69" t="s">
        <v>817</v>
      </c>
      <c r="C177" s="69" t="s">
        <v>889</v>
      </c>
      <c r="D177" s="66" t="s">
        <v>890</v>
      </c>
      <c r="E177" s="66" t="s">
        <v>807</v>
      </c>
      <c r="F177" s="68" t="s">
        <v>808</v>
      </c>
      <c r="G177" s="66" t="s">
        <v>952</v>
      </c>
      <c r="H177" s="66" t="s">
        <v>953</v>
      </c>
      <c r="I177" s="67">
        <v>489</v>
      </c>
      <c r="J177" s="67"/>
      <c r="K177" s="70" t="s">
        <v>113</v>
      </c>
      <c r="L177" s="160"/>
      <c r="M177" s="160"/>
      <c r="N177" s="160"/>
      <c r="O177" s="162" t="s">
        <v>953</v>
      </c>
    </row>
    <row r="178" spans="1:15" ht="15" customHeight="1" x14ac:dyDescent="0.25">
      <c r="A178" s="154" t="s">
        <v>816</v>
      </c>
      <c r="B178" s="69" t="s">
        <v>817</v>
      </c>
      <c r="C178" s="69" t="s">
        <v>889</v>
      </c>
      <c r="D178" s="66" t="s">
        <v>890</v>
      </c>
      <c r="E178" s="66" t="s">
        <v>815</v>
      </c>
      <c r="F178" s="68" t="s">
        <v>141</v>
      </c>
      <c r="G178" s="66" t="s">
        <v>952</v>
      </c>
      <c r="H178" s="66" t="s">
        <v>953</v>
      </c>
      <c r="I178" s="67">
        <v>1491</v>
      </c>
      <c r="J178" s="67"/>
      <c r="K178" s="70" t="s">
        <v>113</v>
      </c>
      <c r="L178" s="160"/>
      <c r="M178" s="160"/>
      <c r="N178" s="160"/>
      <c r="O178" s="161" t="s">
        <v>953</v>
      </c>
    </row>
    <row r="179" spans="1:15" ht="15" customHeight="1" x14ac:dyDescent="0.25">
      <c r="A179" s="154" t="s">
        <v>816</v>
      </c>
      <c r="B179" s="69" t="s">
        <v>817</v>
      </c>
      <c r="C179" s="69" t="s">
        <v>889</v>
      </c>
      <c r="D179" s="66" t="s">
        <v>890</v>
      </c>
      <c r="E179" s="66" t="s">
        <v>950</v>
      </c>
      <c r="F179" s="68" t="s">
        <v>951</v>
      </c>
      <c r="G179" s="66" t="s">
        <v>952</v>
      </c>
      <c r="H179" s="66" t="s">
        <v>953</v>
      </c>
      <c r="I179" s="67">
        <v>274</v>
      </c>
      <c r="J179" s="67"/>
      <c r="K179" s="70" t="s">
        <v>113</v>
      </c>
      <c r="L179" s="160"/>
      <c r="M179" s="160"/>
      <c r="N179" s="160"/>
      <c r="O179" s="162" t="s">
        <v>953</v>
      </c>
    </row>
    <row r="180" spans="1:15" ht="15" customHeight="1" x14ac:dyDescent="0.25">
      <c r="A180" s="154" t="s">
        <v>816</v>
      </c>
      <c r="B180" s="69" t="s">
        <v>817</v>
      </c>
      <c r="C180" s="69" t="s">
        <v>889</v>
      </c>
      <c r="D180" s="66" t="s">
        <v>890</v>
      </c>
      <c r="E180" s="66" t="s">
        <v>828</v>
      </c>
      <c r="F180" s="68" t="s">
        <v>829</v>
      </c>
      <c r="G180" s="66" t="s">
        <v>952</v>
      </c>
      <c r="H180" s="66" t="s">
        <v>953</v>
      </c>
      <c r="I180" s="67">
        <v>1668</v>
      </c>
      <c r="J180" s="67"/>
      <c r="K180" s="70" t="s">
        <v>113</v>
      </c>
      <c r="L180" s="160"/>
      <c r="M180" s="160"/>
      <c r="N180" s="160"/>
      <c r="O180" s="161" t="s">
        <v>953</v>
      </c>
    </row>
    <row r="181" spans="1:15" ht="15" customHeight="1" x14ac:dyDescent="0.25">
      <c r="A181" s="154" t="s">
        <v>816</v>
      </c>
      <c r="B181" s="69" t="s">
        <v>817</v>
      </c>
      <c r="C181" s="69" t="s">
        <v>889</v>
      </c>
      <c r="D181" s="66" t="s">
        <v>890</v>
      </c>
      <c r="E181" s="66" t="s">
        <v>912</v>
      </c>
      <c r="F181" s="68" t="s">
        <v>913</v>
      </c>
      <c r="G181" s="66" t="s">
        <v>952</v>
      </c>
      <c r="H181" s="66" t="s">
        <v>953</v>
      </c>
      <c r="I181" s="67">
        <v>275</v>
      </c>
      <c r="J181" s="67"/>
      <c r="K181" s="70" t="s">
        <v>113</v>
      </c>
      <c r="L181" s="160"/>
      <c r="M181" s="160"/>
      <c r="N181" s="160"/>
      <c r="O181" s="162" t="s">
        <v>953</v>
      </c>
    </row>
    <row r="182" spans="1:15" ht="15" customHeight="1" x14ac:dyDescent="0.25">
      <c r="A182" s="154" t="s">
        <v>816</v>
      </c>
      <c r="B182" s="69" t="s">
        <v>817</v>
      </c>
      <c r="C182" s="69" t="s">
        <v>889</v>
      </c>
      <c r="D182" s="66" t="s">
        <v>890</v>
      </c>
      <c r="E182" s="66" t="s">
        <v>867</v>
      </c>
      <c r="F182" s="68" t="s">
        <v>868</v>
      </c>
      <c r="G182" s="66" t="s">
        <v>952</v>
      </c>
      <c r="H182" s="66" t="s">
        <v>953</v>
      </c>
      <c r="I182" s="67">
        <v>445</v>
      </c>
      <c r="J182" s="67"/>
      <c r="K182" s="70" t="s">
        <v>113</v>
      </c>
      <c r="L182" s="160"/>
      <c r="M182" s="160"/>
      <c r="N182" s="160"/>
      <c r="O182" s="161" t="s">
        <v>953</v>
      </c>
    </row>
    <row r="183" spans="1:15" ht="15" customHeight="1" x14ac:dyDescent="0.25">
      <c r="A183" s="154" t="s">
        <v>816</v>
      </c>
      <c r="B183" s="69" t="s">
        <v>817</v>
      </c>
      <c r="C183" s="69" t="s">
        <v>889</v>
      </c>
      <c r="D183" s="66" t="s">
        <v>890</v>
      </c>
      <c r="E183" s="66" t="s">
        <v>879</v>
      </c>
      <c r="F183" s="68" t="s">
        <v>880</v>
      </c>
      <c r="G183" s="66" t="s">
        <v>952</v>
      </c>
      <c r="H183" s="66" t="s">
        <v>953</v>
      </c>
      <c r="I183" s="67">
        <v>569</v>
      </c>
      <c r="J183" s="67"/>
      <c r="K183" s="70" t="s">
        <v>113</v>
      </c>
      <c r="L183" s="160"/>
      <c r="M183" s="160"/>
      <c r="N183" s="160"/>
      <c r="O183" s="162" t="s">
        <v>953</v>
      </c>
    </row>
    <row r="184" spans="1:15" ht="15" customHeight="1" x14ac:dyDescent="0.25">
      <c r="A184" s="154" t="s">
        <v>816</v>
      </c>
      <c r="B184" s="69" t="s">
        <v>817</v>
      </c>
      <c r="C184" s="69" t="s">
        <v>889</v>
      </c>
      <c r="D184" s="66" t="s">
        <v>890</v>
      </c>
      <c r="E184" s="66" t="s">
        <v>887</v>
      </c>
      <c r="F184" s="68" t="s">
        <v>888</v>
      </c>
      <c r="G184" s="66" t="s">
        <v>952</v>
      </c>
      <c r="H184" s="66" t="s">
        <v>953</v>
      </c>
      <c r="I184" s="67">
        <v>-569</v>
      </c>
      <c r="J184" s="67"/>
      <c r="K184" s="70" t="s">
        <v>113</v>
      </c>
      <c r="L184" s="160"/>
      <c r="M184" s="160"/>
      <c r="N184" s="160"/>
      <c r="O184" s="161" t="s">
        <v>953</v>
      </c>
    </row>
    <row r="185" spans="1:15" s="196" customFormat="1" ht="15" customHeight="1" x14ac:dyDescent="0.25">
      <c r="A185" s="188" t="s">
        <v>816</v>
      </c>
      <c r="B185" s="190" t="s">
        <v>817</v>
      </c>
      <c r="C185" s="189" t="s">
        <v>889</v>
      </c>
      <c r="D185" s="190" t="s">
        <v>890</v>
      </c>
      <c r="E185" s="190" t="s">
        <v>893</v>
      </c>
      <c r="F185" s="191" t="s">
        <v>894</v>
      </c>
      <c r="G185" s="190" t="s">
        <v>966</v>
      </c>
      <c r="H185" s="190" t="s">
        <v>967</v>
      </c>
      <c r="I185" s="192">
        <v>63679</v>
      </c>
      <c r="J185" s="192"/>
      <c r="K185" s="193" t="s">
        <v>103</v>
      </c>
      <c r="L185" s="194"/>
      <c r="M185" s="194"/>
      <c r="N185" s="194"/>
      <c r="O185" s="197" t="s">
        <v>1025</v>
      </c>
    </row>
    <row r="186" spans="1:15" s="196" customFormat="1" ht="15" customHeight="1" x14ac:dyDescent="0.25">
      <c r="A186" s="188" t="s">
        <v>816</v>
      </c>
      <c r="B186" s="190" t="s">
        <v>817</v>
      </c>
      <c r="C186" s="189" t="s">
        <v>889</v>
      </c>
      <c r="D186" s="190" t="s">
        <v>890</v>
      </c>
      <c r="E186" s="190" t="s">
        <v>964</v>
      </c>
      <c r="F186" s="191" t="s">
        <v>965</v>
      </c>
      <c r="G186" s="190" t="s">
        <v>966</v>
      </c>
      <c r="H186" s="190" t="s">
        <v>967</v>
      </c>
      <c r="I186" s="192">
        <v>90</v>
      </c>
      <c r="J186" s="192"/>
      <c r="K186" s="193" t="s">
        <v>103</v>
      </c>
      <c r="L186" s="194"/>
      <c r="M186" s="194"/>
      <c r="N186" s="194"/>
      <c r="O186" s="195" t="s">
        <v>1025</v>
      </c>
    </row>
    <row r="187" spans="1:15" s="196" customFormat="1" ht="15" customHeight="1" x14ac:dyDescent="0.25">
      <c r="A187" s="188" t="s">
        <v>816</v>
      </c>
      <c r="B187" s="190" t="s">
        <v>817</v>
      </c>
      <c r="C187" s="189" t="s">
        <v>889</v>
      </c>
      <c r="D187" s="190" t="s">
        <v>890</v>
      </c>
      <c r="E187" s="190" t="s">
        <v>936</v>
      </c>
      <c r="F187" s="191" t="s">
        <v>937</v>
      </c>
      <c r="G187" s="190" t="s">
        <v>966</v>
      </c>
      <c r="H187" s="190" t="s">
        <v>967</v>
      </c>
      <c r="I187" s="192">
        <v>781</v>
      </c>
      <c r="J187" s="192"/>
      <c r="K187" s="193" t="s">
        <v>103</v>
      </c>
      <c r="L187" s="194"/>
      <c r="M187" s="194"/>
      <c r="N187" s="194"/>
      <c r="O187" s="197" t="s">
        <v>1025</v>
      </c>
    </row>
    <row r="188" spans="1:15" s="196" customFormat="1" ht="15" customHeight="1" x14ac:dyDescent="0.25">
      <c r="A188" s="188" t="s">
        <v>816</v>
      </c>
      <c r="B188" s="190" t="s">
        <v>817</v>
      </c>
      <c r="C188" s="189" t="s">
        <v>889</v>
      </c>
      <c r="D188" s="190" t="s">
        <v>890</v>
      </c>
      <c r="E188" s="190" t="s">
        <v>807</v>
      </c>
      <c r="F188" s="191" t="s">
        <v>808</v>
      </c>
      <c r="G188" s="190" t="s">
        <v>966</v>
      </c>
      <c r="H188" s="190" t="s">
        <v>967</v>
      </c>
      <c r="I188" s="192">
        <v>9097</v>
      </c>
      <c r="J188" s="192"/>
      <c r="K188" s="193" t="s">
        <v>104</v>
      </c>
      <c r="L188" s="194"/>
      <c r="M188" s="194"/>
      <c r="N188" s="194"/>
      <c r="O188" s="195" t="s">
        <v>1025</v>
      </c>
    </row>
    <row r="189" spans="1:15" s="196" customFormat="1" ht="15" customHeight="1" x14ac:dyDescent="0.25">
      <c r="A189" s="188" t="s">
        <v>816</v>
      </c>
      <c r="B189" s="190" t="s">
        <v>817</v>
      </c>
      <c r="C189" s="189" t="s">
        <v>889</v>
      </c>
      <c r="D189" s="190" t="s">
        <v>890</v>
      </c>
      <c r="E189" s="190" t="s">
        <v>813</v>
      </c>
      <c r="F189" s="191" t="s">
        <v>814</v>
      </c>
      <c r="G189" s="190" t="s">
        <v>966</v>
      </c>
      <c r="H189" s="190" t="s">
        <v>967</v>
      </c>
      <c r="I189" s="192">
        <v>15</v>
      </c>
      <c r="J189" s="192"/>
      <c r="K189" s="193" t="s">
        <v>103</v>
      </c>
      <c r="L189" s="194"/>
      <c r="M189" s="194"/>
      <c r="N189" s="194"/>
      <c r="O189" s="197" t="s">
        <v>1025</v>
      </c>
    </row>
    <row r="190" spans="1:15" s="196" customFormat="1" ht="15" customHeight="1" x14ac:dyDescent="0.25">
      <c r="A190" s="188" t="s">
        <v>816</v>
      </c>
      <c r="B190" s="190" t="s">
        <v>817</v>
      </c>
      <c r="C190" s="189" t="s">
        <v>889</v>
      </c>
      <c r="D190" s="190" t="s">
        <v>890</v>
      </c>
      <c r="E190" s="190" t="s">
        <v>815</v>
      </c>
      <c r="F190" s="191" t="s">
        <v>141</v>
      </c>
      <c r="G190" s="190" t="s">
        <v>966</v>
      </c>
      <c r="H190" s="190" t="s">
        <v>967</v>
      </c>
      <c r="I190" s="192">
        <v>10386</v>
      </c>
      <c r="J190" s="192"/>
      <c r="K190" s="193" t="s">
        <v>105</v>
      </c>
      <c r="L190" s="194"/>
      <c r="M190" s="194"/>
      <c r="N190" s="194"/>
      <c r="O190" s="195" t="s">
        <v>1025</v>
      </c>
    </row>
    <row r="191" spans="1:15" ht="15" customHeight="1" x14ac:dyDescent="0.25">
      <c r="A191" s="154" t="s">
        <v>816</v>
      </c>
      <c r="B191" s="66" t="s">
        <v>817</v>
      </c>
      <c r="C191" s="69" t="s">
        <v>889</v>
      </c>
      <c r="D191" s="66" t="s">
        <v>890</v>
      </c>
      <c r="E191" s="66" t="s">
        <v>960</v>
      </c>
      <c r="F191" s="68" t="s">
        <v>961</v>
      </c>
      <c r="G191" s="66" t="s">
        <v>972</v>
      </c>
      <c r="H191" s="66" t="s">
        <v>973</v>
      </c>
      <c r="I191" s="67">
        <v>-20000</v>
      </c>
      <c r="J191" s="67"/>
      <c r="K191" s="70" t="s">
        <v>115</v>
      </c>
      <c r="L191" s="160"/>
      <c r="M191" s="160"/>
      <c r="N191" s="160"/>
      <c r="O191" s="161"/>
    </row>
    <row r="192" spans="1:15" ht="15" customHeight="1" x14ac:dyDescent="0.25">
      <c r="A192" s="154" t="s">
        <v>816</v>
      </c>
      <c r="B192" s="66" t="s">
        <v>817</v>
      </c>
      <c r="C192" s="69" t="s">
        <v>889</v>
      </c>
      <c r="D192" s="66" t="s">
        <v>890</v>
      </c>
      <c r="E192" s="66" t="s">
        <v>940</v>
      </c>
      <c r="F192" s="68" t="s">
        <v>941</v>
      </c>
      <c r="G192" s="66" t="s">
        <v>978</v>
      </c>
      <c r="H192" s="66" t="s">
        <v>979</v>
      </c>
      <c r="I192" s="67">
        <v>-2488</v>
      </c>
      <c r="J192" s="67"/>
      <c r="K192" s="70" t="s">
        <v>111</v>
      </c>
      <c r="L192" s="160"/>
      <c r="M192" s="160"/>
      <c r="N192" s="160"/>
      <c r="O192" s="161"/>
    </row>
    <row r="193" spans="1:15" ht="15" customHeight="1" x14ac:dyDescent="0.25">
      <c r="A193" s="154" t="s">
        <v>816</v>
      </c>
      <c r="B193" s="66" t="s">
        <v>817</v>
      </c>
      <c r="C193" s="69" t="s">
        <v>889</v>
      </c>
      <c r="D193" s="66" t="s">
        <v>890</v>
      </c>
      <c r="E193" s="66" t="s">
        <v>980</v>
      </c>
      <c r="F193" s="68" t="s">
        <v>981</v>
      </c>
      <c r="G193" s="66" t="s">
        <v>978</v>
      </c>
      <c r="H193" s="66" t="s">
        <v>979</v>
      </c>
      <c r="I193" s="67">
        <v>2488</v>
      </c>
      <c r="J193" s="67"/>
      <c r="K193" s="70" t="s">
        <v>111</v>
      </c>
      <c r="L193" s="160"/>
      <c r="M193" s="160"/>
      <c r="N193" s="160"/>
      <c r="O193" s="162"/>
    </row>
    <row r="194" spans="1:15" ht="15" customHeight="1" x14ac:dyDescent="0.25">
      <c r="A194" s="154" t="s">
        <v>816</v>
      </c>
      <c r="B194" s="69" t="s">
        <v>817</v>
      </c>
      <c r="C194" s="69" t="s">
        <v>889</v>
      </c>
      <c r="D194" s="66" t="s">
        <v>890</v>
      </c>
      <c r="E194" s="66" t="s">
        <v>950</v>
      </c>
      <c r="F194" s="68" t="s">
        <v>951</v>
      </c>
      <c r="G194" s="66" t="s">
        <v>982</v>
      </c>
      <c r="H194" s="66" t="s">
        <v>983</v>
      </c>
      <c r="I194" s="67">
        <v>241884</v>
      </c>
      <c r="J194" s="67"/>
      <c r="K194" s="70" t="s">
        <v>119</v>
      </c>
      <c r="L194" s="160"/>
      <c r="M194" s="160"/>
      <c r="N194" s="160"/>
      <c r="O194" s="162"/>
    </row>
    <row r="195" spans="1:15" ht="15" customHeight="1" x14ac:dyDescent="0.25">
      <c r="A195" s="154" t="s">
        <v>816</v>
      </c>
      <c r="B195" s="69" t="s">
        <v>817</v>
      </c>
      <c r="C195" s="69" t="s">
        <v>889</v>
      </c>
      <c r="D195" s="66" t="s">
        <v>890</v>
      </c>
      <c r="E195" s="66" t="s">
        <v>828</v>
      </c>
      <c r="F195" s="68" t="s">
        <v>829</v>
      </c>
      <c r="G195" s="66" t="s">
        <v>982</v>
      </c>
      <c r="H195" s="66" t="s">
        <v>983</v>
      </c>
      <c r="I195" s="67">
        <v>292</v>
      </c>
      <c r="J195" s="67"/>
      <c r="K195" s="70" t="s">
        <v>119</v>
      </c>
      <c r="L195" s="160"/>
      <c r="M195" s="160"/>
      <c r="N195" s="160"/>
      <c r="O195" s="161"/>
    </row>
    <row r="196" spans="1:15" ht="15" customHeight="1" x14ac:dyDescent="0.25">
      <c r="A196" s="154" t="s">
        <v>816</v>
      </c>
      <c r="B196" s="69" t="s">
        <v>817</v>
      </c>
      <c r="C196" s="69" t="s">
        <v>889</v>
      </c>
      <c r="D196" s="66" t="s">
        <v>890</v>
      </c>
      <c r="E196" s="66" t="s">
        <v>879</v>
      </c>
      <c r="F196" s="68" t="s">
        <v>880</v>
      </c>
      <c r="G196" s="66" t="s">
        <v>982</v>
      </c>
      <c r="H196" s="66" t="s">
        <v>983</v>
      </c>
      <c r="I196" s="67">
        <v>35919</v>
      </c>
      <c r="J196" s="67"/>
      <c r="K196" s="70" t="s">
        <v>119</v>
      </c>
      <c r="L196" s="160"/>
      <c r="M196" s="160"/>
      <c r="N196" s="160"/>
      <c r="O196" s="162"/>
    </row>
    <row r="197" spans="1:15" ht="15" customHeight="1" x14ac:dyDescent="0.25">
      <c r="A197" s="154" t="s">
        <v>816</v>
      </c>
      <c r="B197" s="69" t="s">
        <v>817</v>
      </c>
      <c r="C197" s="69" t="s">
        <v>889</v>
      </c>
      <c r="D197" s="66" t="s">
        <v>890</v>
      </c>
      <c r="E197" s="66" t="s">
        <v>980</v>
      </c>
      <c r="F197" s="68" t="s">
        <v>981</v>
      </c>
      <c r="G197" s="66" t="s">
        <v>982</v>
      </c>
      <c r="H197" s="66" t="s">
        <v>983</v>
      </c>
      <c r="I197" s="67">
        <v>-115406</v>
      </c>
      <c r="J197" s="67"/>
      <c r="K197" s="70" t="s">
        <v>119</v>
      </c>
      <c r="L197" s="160"/>
      <c r="M197" s="160"/>
      <c r="N197" s="160"/>
      <c r="O197" s="161"/>
    </row>
    <row r="198" spans="1:15" ht="15" customHeight="1" x14ac:dyDescent="0.25">
      <c r="A198" s="154" t="s">
        <v>816</v>
      </c>
      <c r="B198" s="69" t="s">
        <v>817</v>
      </c>
      <c r="C198" s="69" t="s">
        <v>889</v>
      </c>
      <c r="D198" s="66" t="s">
        <v>890</v>
      </c>
      <c r="E198" s="66" t="s">
        <v>887</v>
      </c>
      <c r="F198" s="68" t="s">
        <v>888</v>
      </c>
      <c r="G198" s="66" t="s">
        <v>982</v>
      </c>
      <c r="H198" s="66" t="s">
        <v>983</v>
      </c>
      <c r="I198" s="67">
        <v>-35919</v>
      </c>
      <c r="J198" s="67"/>
      <c r="K198" s="70" t="s">
        <v>119</v>
      </c>
      <c r="L198" s="160"/>
      <c r="M198" s="160"/>
      <c r="N198" s="160"/>
      <c r="O198" s="162"/>
    </row>
    <row r="199" spans="1:15" ht="15" customHeight="1" x14ac:dyDescent="0.25">
      <c r="A199" s="154" t="s">
        <v>816</v>
      </c>
      <c r="B199" s="69" t="s">
        <v>817</v>
      </c>
      <c r="C199" s="69" t="s">
        <v>889</v>
      </c>
      <c r="D199" s="66" t="s">
        <v>890</v>
      </c>
      <c r="E199" s="66" t="s">
        <v>916</v>
      </c>
      <c r="F199" s="68" t="s">
        <v>917</v>
      </c>
      <c r="G199" s="66" t="s">
        <v>982</v>
      </c>
      <c r="H199" s="66" t="s">
        <v>983</v>
      </c>
      <c r="I199" s="67">
        <v>-125745</v>
      </c>
      <c r="J199" s="67"/>
      <c r="K199" s="70" t="s">
        <v>119</v>
      </c>
      <c r="L199" s="160"/>
      <c r="M199" s="160"/>
      <c r="N199" s="160"/>
      <c r="O199" s="161"/>
    </row>
    <row r="200" spans="1:15" ht="15" customHeight="1" x14ac:dyDescent="0.25">
      <c r="A200" s="154" t="s">
        <v>816</v>
      </c>
      <c r="B200" s="69" t="s">
        <v>817</v>
      </c>
      <c r="C200" s="69" t="s">
        <v>889</v>
      </c>
      <c r="D200" s="66" t="s">
        <v>890</v>
      </c>
      <c r="E200" s="66" t="s">
        <v>940</v>
      </c>
      <c r="F200" s="68" t="s">
        <v>941</v>
      </c>
      <c r="G200" s="66" t="s">
        <v>932</v>
      </c>
      <c r="H200" s="66" t="s">
        <v>986</v>
      </c>
      <c r="I200" s="67">
        <v>-39455</v>
      </c>
      <c r="J200" s="67"/>
      <c r="K200" s="70" t="s">
        <v>111</v>
      </c>
      <c r="L200" s="160"/>
      <c r="M200" s="160"/>
      <c r="N200" s="160"/>
      <c r="O200" s="162"/>
    </row>
    <row r="201" spans="1:15" ht="15" customHeight="1" x14ac:dyDescent="0.25">
      <c r="A201" s="154" t="s">
        <v>816</v>
      </c>
      <c r="B201" s="66" t="s">
        <v>817</v>
      </c>
      <c r="C201" s="69" t="s">
        <v>889</v>
      </c>
      <c r="D201" s="66" t="s">
        <v>890</v>
      </c>
      <c r="E201" s="66" t="s">
        <v>980</v>
      </c>
      <c r="F201" s="68" t="s">
        <v>981</v>
      </c>
      <c r="G201" s="66" t="s">
        <v>932</v>
      </c>
      <c r="H201" s="66" t="s">
        <v>986</v>
      </c>
      <c r="I201" s="67">
        <v>39499</v>
      </c>
      <c r="J201" s="67"/>
      <c r="K201" s="70" t="s">
        <v>111</v>
      </c>
      <c r="L201" s="160"/>
      <c r="M201" s="160"/>
      <c r="N201" s="160"/>
      <c r="O201" s="161"/>
    </row>
    <row r="202" spans="1:15" ht="15" customHeight="1" x14ac:dyDescent="0.25">
      <c r="A202" s="154" t="s">
        <v>816</v>
      </c>
      <c r="B202" s="66" t="s">
        <v>817</v>
      </c>
      <c r="C202" s="69" t="s">
        <v>889</v>
      </c>
      <c r="D202" s="66" t="s">
        <v>890</v>
      </c>
      <c r="E202" s="66" t="s">
        <v>940</v>
      </c>
      <c r="F202" s="68" t="s">
        <v>941</v>
      </c>
      <c r="G202" s="66" t="s">
        <v>987</v>
      </c>
      <c r="H202" s="66" t="s">
        <v>988</v>
      </c>
      <c r="I202" s="67">
        <v>-210811</v>
      </c>
      <c r="J202" s="67"/>
      <c r="K202" s="70" t="s">
        <v>115</v>
      </c>
      <c r="L202" s="160"/>
      <c r="M202" s="160"/>
      <c r="N202" s="160"/>
      <c r="O202" s="162"/>
    </row>
    <row r="203" spans="1:15" ht="15" customHeight="1" x14ac:dyDescent="0.25">
      <c r="A203" s="154" t="s">
        <v>816</v>
      </c>
      <c r="B203" s="66" t="s">
        <v>817</v>
      </c>
      <c r="C203" s="69" t="s">
        <v>889</v>
      </c>
      <c r="D203" s="66" t="s">
        <v>890</v>
      </c>
      <c r="E203" s="66" t="s">
        <v>940</v>
      </c>
      <c r="F203" s="68" t="s">
        <v>941</v>
      </c>
      <c r="G203" s="66" t="s">
        <v>989</v>
      </c>
      <c r="H203" s="66" t="s">
        <v>990</v>
      </c>
      <c r="I203" s="67">
        <v>-9346</v>
      </c>
      <c r="J203" s="67"/>
      <c r="K203" s="70" t="s">
        <v>103</v>
      </c>
      <c r="L203" s="160"/>
      <c r="M203" s="160"/>
      <c r="N203" s="160"/>
      <c r="O203" s="161"/>
    </row>
    <row r="204" spans="1:15" ht="15" customHeight="1" x14ac:dyDescent="0.25">
      <c r="A204" s="154" t="s">
        <v>816</v>
      </c>
      <c r="B204" s="66" t="s">
        <v>817</v>
      </c>
      <c r="C204" s="69" t="s">
        <v>889</v>
      </c>
      <c r="D204" s="66" t="s">
        <v>890</v>
      </c>
      <c r="E204" s="66" t="s">
        <v>906</v>
      </c>
      <c r="F204" s="68" t="s">
        <v>907</v>
      </c>
      <c r="G204" s="66" t="s">
        <v>991</v>
      </c>
      <c r="H204" s="66" t="s">
        <v>992</v>
      </c>
      <c r="I204" s="67">
        <v>624</v>
      </c>
      <c r="J204" s="67"/>
      <c r="K204" s="70" t="s">
        <v>103</v>
      </c>
      <c r="L204" s="160"/>
      <c r="M204" s="160"/>
      <c r="N204" s="160"/>
      <c r="O204" s="162"/>
    </row>
    <row r="205" spans="1:15" ht="15" customHeight="1" x14ac:dyDescent="0.25">
      <c r="A205" s="154" t="s">
        <v>816</v>
      </c>
      <c r="B205" s="66" t="s">
        <v>817</v>
      </c>
      <c r="C205" s="69" t="s">
        <v>889</v>
      </c>
      <c r="D205" s="66" t="s">
        <v>890</v>
      </c>
      <c r="E205" s="66" t="s">
        <v>815</v>
      </c>
      <c r="F205" s="68" t="s">
        <v>141</v>
      </c>
      <c r="G205" s="66" t="s">
        <v>991</v>
      </c>
      <c r="H205" s="66" t="s">
        <v>992</v>
      </c>
      <c r="I205" s="67">
        <v>88</v>
      </c>
      <c r="J205" s="67"/>
      <c r="K205" s="70" t="s">
        <v>103</v>
      </c>
      <c r="L205" s="160"/>
      <c r="M205" s="160"/>
      <c r="N205" s="160"/>
      <c r="O205" s="161"/>
    </row>
    <row r="206" spans="1:15" ht="15" customHeight="1" x14ac:dyDescent="0.25">
      <c r="A206" s="154" t="s">
        <v>816</v>
      </c>
      <c r="B206" s="66" t="s">
        <v>817</v>
      </c>
      <c r="C206" s="69" t="s">
        <v>889</v>
      </c>
      <c r="D206" s="66" t="s">
        <v>890</v>
      </c>
      <c r="E206" s="66" t="s">
        <v>912</v>
      </c>
      <c r="F206" s="68" t="s">
        <v>913</v>
      </c>
      <c r="G206" s="66" t="s">
        <v>991</v>
      </c>
      <c r="H206" s="66" t="s">
        <v>992</v>
      </c>
      <c r="I206" s="67">
        <v>1918</v>
      </c>
      <c r="J206" s="67"/>
      <c r="K206" s="70" t="s">
        <v>103</v>
      </c>
      <c r="L206" s="160"/>
      <c r="M206" s="160"/>
      <c r="N206" s="160"/>
      <c r="O206" s="162"/>
    </row>
    <row r="207" spans="1:15" ht="15" customHeight="1" x14ac:dyDescent="0.25">
      <c r="A207" s="154" t="s">
        <v>816</v>
      </c>
      <c r="B207" s="66" t="s">
        <v>817</v>
      </c>
      <c r="C207" s="69" t="s">
        <v>889</v>
      </c>
      <c r="D207" s="66" t="s">
        <v>890</v>
      </c>
      <c r="E207" s="66" t="s">
        <v>924</v>
      </c>
      <c r="F207" s="68" t="s">
        <v>925</v>
      </c>
      <c r="G207" s="66" t="s">
        <v>801</v>
      </c>
      <c r="H207" s="66" t="s">
        <v>802</v>
      </c>
      <c r="I207" s="67">
        <v>26270</v>
      </c>
      <c r="J207" s="67"/>
      <c r="K207" s="70" t="s">
        <v>103</v>
      </c>
      <c r="L207" s="160"/>
      <c r="M207" s="160"/>
      <c r="N207" s="160"/>
      <c r="O207" s="162"/>
    </row>
    <row r="208" spans="1:15" ht="15" customHeight="1" x14ac:dyDescent="0.25">
      <c r="A208" s="154" t="s">
        <v>816</v>
      </c>
      <c r="B208" s="66" t="s">
        <v>817</v>
      </c>
      <c r="C208" s="69" t="s">
        <v>889</v>
      </c>
      <c r="D208" s="66" t="s">
        <v>890</v>
      </c>
      <c r="E208" s="66" t="s">
        <v>893</v>
      </c>
      <c r="F208" s="68" t="s">
        <v>894</v>
      </c>
      <c r="G208" s="66" t="s">
        <v>801</v>
      </c>
      <c r="H208" s="66" t="s">
        <v>802</v>
      </c>
      <c r="I208" s="67">
        <v>5391995</v>
      </c>
      <c r="J208" s="67"/>
      <c r="K208" s="70" t="s">
        <v>103</v>
      </c>
      <c r="L208" s="160"/>
      <c r="M208" s="160"/>
      <c r="N208" s="160"/>
      <c r="O208" s="161"/>
    </row>
    <row r="209" spans="1:15" ht="15" customHeight="1" x14ac:dyDescent="0.25">
      <c r="A209" s="154" t="s">
        <v>816</v>
      </c>
      <c r="B209" s="66" t="s">
        <v>817</v>
      </c>
      <c r="C209" s="69" t="s">
        <v>889</v>
      </c>
      <c r="D209" s="66" t="s">
        <v>890</v>
      </c>
      <c r="E209" s="66" t="s">
        <v>799</v>
      </c>
      <c r="F209" s="68" t="s">
        <v>800</v>
      </c>
      <c r="G209" s="66" t="s">
        <v>801</v>
      </c>
      <c r="H209" s="66" t="s">
        <v>802</v>
      </c>
      <c r="I209" s="67">
        <v>4954</v>
      </c>
      <c r="J209" s="67"/>
      <c r="K209" s="70" t="s">
        <v>103</v>
      </c>
      <c r="L209" s="160"/>
      <c r="M209" s="160"/>
      <c r="N209" s="160"/>
      <c r="O209" s="162"/>
    </row>
    <row r="210" spans="1:15" ht="15" customHeight="1" x14ac:dyDescent="0.25">
      <c r="A210" s="154" t="s">
        <v>816</v>
      </c>
      <c r="B210" s="66" t="s">
        <v>817</v>
      </c>
      <c r="C210" s="69" t="s">
        <v>889</v>
      </c>
      <c r="D210" s="66" t="s">
        <v>890</v>
      </c>
      <c r="E210" s="66" t="s">
        <v>998</v>
      </c>
      <c r="F210" s="68" t="s">
        <v>999</v>
      </c>
      <c r="G210" s="66" t="s">
        <v>801</v>
      </c>
      <c r="H210" s="66" t="s">
        <v>802</v>
      </c>
      <c r="I210" s="67">
        <v>652584</v>
      </c>
      <c r="J210" s="67"/>
      <c r="K210" s="70" t="s">
        <v>103</v>
      </c>
      <c r="L210" s="160"/>
      <c r="M210" s="160"/>
      <c r="N210" s="160"/>
      <c r="O210" s="161"/>
    </row>
    <row r="211" spans="1:15" ht="15" customHeight="1" x14ac:dyDescent="0.25">
      <c r="A211" s="154" t="s">
        <v>816</v>
      </c>
      <c r="B211" s="66" t="s">
        <v>817</v>
      </c>
      <c r="C211" s="69" t="s">
        <v>889</v>
      </c>
      <c r="D211" s="66" t="s">
        <v>890</v>
      </c>
      <c r="E211" s="66" t="s">
        <v>896</v>
      </c>
      <c r="F211" s="68" t="s">
        <v>897</v>
      </c>
      <c r="G211" s="66" t="s">
        <v>801</v>
      </c>
      <c r="H211" s="66" t="s">
        <v>802</v>
      </c>
      <c r="I211" s="67">
        <v>258832</v>
      </c>
      <c r="J211" s="67"/>
      <c r="K211" s="70" t="s">
        <v>103</v>
      </c>
      <c r="L211" s="160"/>
      <c r="M211" s="160"/>
      <c r="N211" s="160"/>
      <c r="O211" s="162"/>
    </row>
    <row r="212" spans="1:15" ht="15" customHeight="1" x14ac:dyDescent="0.25">
      <c r="A212" s="154" t="s">
        <v>816</v>
      </c>
      <c r="B212" s="66" t="s">
        <v>817</v>
      </c>
      <c r="C212" s="69" t="s">
        <v>889</v>
      </c>
      <c r="D212" s="66" t="s">
        <v>890</v>
      </c>
      <c r="E212" s="66" t="s">
        <v>968</v>
      </c>
      <c r="F212" s="68" t="s">
        <v>969</v>
      </c>
      <c r="G212" s="66" t="s">
        <v>801</v>
      </c>
      <c r="H212" s="66" t="s">
        <v>802</v>
      </c>
      <c r="I212" s="67">
        <v>68205</v>
      </c>
      <c r="J212" s="67"/>
      <c r="K212" s="70" t="s">
        <v>103</v>
      </c>
      <c r="L212" s="160"/>
      <c r="M212" s="160"/>
      <c r="N212" s="160"/>
      <c r="O212" s="161"/>
    </row>
    <row r="213" spans="1:15" ht="15" customHeight="1" x14ac:dyDescent="0.25">
      <c r="A213" s="154" t="s">
        <v>816</v>
      </c>
      <c r="B213" s="66" t="s">
        <v>817</v>
      </c>
      <c r="C213" s="69" t="s">
        <v>889</v>
      </c>
      <c r="D213" s="66" t="s">
        <v>890</v>
      </c>
      <c r="E213" s="66" t="s">
        <v>900</v>
      </c>
      <c r="F213" s="68" t="s">
        <v>901</v>
      </c>
      <c r="G213" s="66" t="s">
        <v>801</v>
      </c>
      <c r="H213" s="66" t="s">
        <v>802</v>
      </c>
      <c r="I213" s="67">
        <v>733858</v>
      </c>
      <c r="J213" s="67"/>
      <c r="K213" s="70" t="s">
        <v>103</v>
      </c>
      <c r="L213" s="160"/>
      <c r="M213" s="160"/>
      <c r="N213" s="160"/>
      <c r="O213" s="162"/>
    </row>
    <row r="214" spans="1:15" ht="15" customHeight="1" x14ac:dyDescent="0.25">
      <c r="A214" s="154" t="s">
        <v>816</v>
      </c>
      <c r="B214" s="66" t="s">
        <v>817</v>
      </c>
      <c r="C214" s="69" t="s">
        <v>889</v>
      </c>
      <c r="D214" s="66" t="s">
        <v>890</v>
      </c>
      <c r="E214" s="66" t="s">
        <v>902</v>
      </c>
      <c r="F214" s="68" t="s">
        <v>903</v>
      </c>
      <c r="G214" s="66" t="s">
        <v>801</v>
      </c>
      <c r="H214" s="66" t="s">
        <v>802</v>
      </c>
      <c r="I214" s="67">
        <v>15529</v>
      </c>
      <c r="J214" s="67"/>
      <c r="K214" s="70" t="s">
        <v>103</v>
      </c>
      <c r="L214" s="160"/>
      <c r="M214" s="160"/>
      <c r="N214" s="160"/>
      <c r="O214" s="161"/>
    </row>
    <row r="215" spans="1:15" ht="15" customHeight="1" x14ac:dyDescent="0.25">
      <c r="A215" s="154" t="s">
        <v>816</v>
      </c>
      <c r="B215" s="66" t="s">
        <v>817</v>
      </c>
      <c r="C215" s="69" t="s">
        <v>889</v>
      </c>
      <c r="D215" s="66" t="s">
        <v>890</v>
      </c>
      <c r="E215" s="66" t="s">
        <v>904</v>
      </c>
      <c r="F215" s="68" t="s">
        <v>905</v>
      </c>
      <c r="G215" s="66" t="s">
        <v>801</v>
      </c>
      <c r="H215" s="66" t="s">
        <v>802</v>
      </c>
      <c r="I215" s="67">
        <v>1113988</v>
      </c>
      <c r="J215" s="67"/>
      <c r="K215" s="70" t="s">
        <v>103</v>
      </c>
      <c r="L215" s="160"/>
      <c r="M215" s="160"/>
      <c r="N215" s="160"/>
      <c r="O215" s="162"/>
    </row>
    <row r="216" spans="1:15" ht="15" customHeight="1" x14ac:dyDescent="0.25">
      <c r="A216" s="154" t="s">
        <v>816</v>
      </c>
      <c r="B216" s="66" t="s">
        <v>817</v>
      </c>
      <c r="C216" s="69" t="s">
        <v>889</v>
      </c>
      <c r="D216" s="66" t="s">
        <v>890</v>
      </c>
      <c r="E216" s="66" t="s">
        <v>964</v>
      </c>
      <c r="F216" s="68" t="s">
        <v>965</v>
      </c>
      <c r="G216" s="66" t="s">
        <v>801</v>
      </c>
      <c r="H216" s="66" t="s">
        <v>802</v>
      </c>
      <c r="I216" s="67">
        <v>523</v>
      </c>
      <c r="J216" s="67"/>
      <c r="K216" s="70" t="s">
        <v>103</v>
      </c>
      <c r="L216" s="160"/>
      <c r="M216" s="160"/>
      <c r="N216" s="160"/>
      <c r="O216" s="161"/>
    </row>
    <row r="217" spans="1:15" ht="15" customHeight="1" x14ac:dyDescent="0.25">
      <c r="A217" s="154" t="s">
        <v>816</v>
      </c>
      <c r="B217" s="66" t="s">
        <v>817</v>
      </c>
      <c r="C217" s="69" t="s">
        <v>889</v>
      </c>
      <c r="D217" s="66" t="s">
        <v>890</v>
      </c>
      <c r="E217" s="66" t="s">
        <v>936</v>
      </c>
      <c r="F217" s="68" t="s">
        <v>937</v>
      </c>
      <c r="G217" s="66" t="s">
        <v>801</v>
      </c>
      <c r="H217" s="66" t="s">
        <v>802</v>
      </c>
      <c r="I217" s="67">
        <v>53117</v>
      </c>
      <c r="J217" s="67"/>
      <c r="K217" s="70" t="s">
        <v>103</v>
      </c>
      <c r="L217" s="160"/>
      <c r="M217" s="160"/>
      <c r="N217" s="160"/>
      <c r="O217" s="162"/>
    </row>
    <row r="218" spans="1:15" ht="15" customHeight="1" x14ac:dyDescent="0.25">
      <c r="A218" s="154" t="s">
        <v>816</v>
      </c>
      <c r="B218" s="66" t="s">
        <v>817</v>
      </c>
      <c r="C218" s="69" t="s">
        <v>889</v>
      </c>
      <c r="D218" s="66" t="s">
        <v>890</v>
      </c>
      <c r="E218" s="66" t="s">
        <v>1000</v>
      </c>
      <c r="F218" s="68" t="s">
        <v>1001</v>
      </c>
      <c r="G218" s="66" t="s">
        <v>801</v>
      </c>
      <c r="H218" s="66" t="s">
        <v>802</v>
      </c>
      <c r="I218" s="67">
        <v>184760</v>
      </c>
      <c r="J218" s="67"/>
      <c r="K218" s="70" t="s">
        <v>115</v>
      </c>
      <c r="L218" s="160"/>
      <c r="M218" s="160"/>
      <c r="N218" s="160"/>
      <c r="O218" s="161"/>
    </row>
    <row r="219" spans="1:15" ht="15" customHeight="1" x14ac:dyDescent="0.25">
      <c r="A219" s="154" t="s">
        <v>816</v>
      </c>
      <c r="B219" s="66" t="s">
        <v>817</v>
      </c>
      <c r="C219" s="69" t="s">
        <v>889</v>
      </c>
      <c r="D219" s="66" t="s">
        <v>890</v>
      </c>
      <c r="E219" s="66" t="s">
        <v>906</v>
      </c>
      <c r="F219" s="68" t="s">
        <v>907</v>
      </c>
      <c r="G219" s="66" t="s">
        <v>801</v>
      </c>
      <c r="H219" s="66" t="s">
        <v>802</v>
      </c>
      <c r="I219" s="67">
        <v>771</v>
      </c>
      <c r="J219" s="67"/>
      <c r="K219" s="70" t="s">
        <v>103</v>
      </c>
      <c r="L219" s="160"/>
      <c r="M219" s="160"/>
      <c r="N219" s="160"/>
      <c r="O219" s="162"/>
    </row>
    <row r="220" spans="1:15" ht="15" customHeight="1" x14ac:dyDescent="0.25">
      <c r="A220" s="154" t="s">
        <v>816</v>
      </c>
      <c r="B220" s="66" t="s">
        <v>817</v>
      </c>
      <c r="C220" s="69" t="s">
        <v>889</v>
      </c>
      <c r="D220" s="66" t="s">
        <v>890</v>
      </c>
      <c r="E220" s="66" t="s">
        <v>807</v>
      </c>
      <c r="F220" s="68" t="s">
        <v>808</v>
      </c>
      <c r="G220" s="66" t="s">
        <v>801</v>
      </c>
      <c r="H220" s="66" t="s">
        <v>802</v>
      </c>
      <c r="I220" s="67">
        <v>1283265</v>
      </c>
      <c r="J220" s="67"/>
      <c r="K220" s="70" t="s">
        <v>104</v>
      </c>
      <c r="L220" s="160"/>
      <c r="M220" s="160"/>
      <c r="N220" s="160"/>
      <c r="O220" s="161"/>
    </row>
    <row r="221" spans="1:15" ht="15" customHeight="1" x14ac:dyDescent="0.25">
      <c r="A221" s="154" t="s">
        <v>816</v>
      </c>
      <c r="B221" s="61" t="s">
        <v>817</v>
      </c>
      <c r="C221" s="63" t="s">
        <v>889</v>
      </c>
      <c r="D221" s="61" t="s">
        <v>890</v>
      </c>
      <c r="E221" s="61" t="s">
        <v>891</v>
      </c>
      <c r="F221" s="62" t="s">
        <v>892</v>
      </c>
      <c r="G221" s="61" t="s">
        <v>801</v>
      </c>
      <c r="H221" s="61" t="s">
        <v>802</v>
      </c>
      <c r="I221" s="64">
        <v>33332</v>
      </c>
      <c r="J221" s="67"/>
      <c r="K221" s="65" t="s">
        <v>104</v>
      </c>
      <c r="L221" s="160"/>
      <c r="M221" s="160"/>
      <c r="N221" s="160"/>
      <c r="O221" s="162"/>
    </row>
    <row r="222" spans="1:15" ht="15" customHeight="1" x14ac:dyDescent="0.25">
      <c r="A222" s="154" t="s">
        <v>816</v>
      </c>
      <c r="B222" s="61" t="s">
        <v>817</v>
      </c>
      <c r="C222" s="63" t="s">
        <v>889</v>
      </c>
      <c r="D222" s="61" t="s">
        <v>890</v>
      </c>
      <c r="E222" s="61" t="s">
        <v>813</v>
      </c>
      <c r="F222" s="62" t="s">
        <v>814</v>
      </c>
      <c r="G222" s="61" t="s">
        <v>801</v>
      </c>
      <c r="H222" s="61" t="s">
        <v>802</v>
      </c>
      <c r="I222" s="64">
        <v>13067</v>
      </c>
      <c r="J222" s="67"/>
      <c r="K222" s="65" t="s">
        <v>103</v>
      </c>
      <c r="L222" s="160"/>
      <c r="M222" s="160"/>
      <c r="N222" s="160"/>
      <c r="O222" s="161"/>
    </row>
    <row r="223" spans="1:15" ht="15" customHeight="1" x14ac:dyDescent="0.25">
      <c r="A223" s="154" t="s">
        <v>816</v>
      </c>
      <c r="B223" s="61" t="s">
        <v>817</v>
      </c>
      <c r="C223" s="63" t="s">
        <v>889</v>
      </c>
      <c r="D223" s="61" t="s">
        <v>890</v>
      </c>
      <c r="E223" s="61" t="s">
        <v>815</v>
      </c>
      <c r="F223" s="62" t="s">
        <v>141</v>
      </c>
      <c r="G223" s="61" t="s">
        <v>801</v>
      </c>
      <c r="H223" s="61" t="s">
        <v>802</v>
      </c>
      <c r="I223" s="64">
        <v>1254539</v>
      </c>
      <c r="J223" s="67"/>
      <c r="K223" s="65" t="s">
        <v>105</v>
      </c>
      <c r="L223" s="160"/>
      <c r="M223" s="160"/>
      <c r="N223" s="160"/>
      <c r="O223" s="162"/>
    </row>
    <row r="224" spans="1:15" ht="15" customHeight="1" x14ac:dyDescent="0.25">
      <c r="A224" s="154" t="s">
        <v>816</v>
      </c>
      <c r="B224" s="61" t="s">
        <v>817</v>
      </c>
      <c r="C224" s="63" t="s">
        <v>889</v>
      </c>
      <c r="D224" s="61" t="s">
        <v>890</v>
      </c>
      <c r="E224" s="61" t="s">
        <v>938</v>
      </c>
      <c r="F224" s="62" t="s">
        <v>939</v>
      </c>
      <c r="G224" s="61" t="s">
        <v>801</v>
      </c>
      <c r="H224" s="61" t="s">
        <v>802</v>
      </c>
      <c r="I224" s="64">
        <v>10734</v>
      </c>
      <c r="J224" s="67"/>
      <c r="K224" s="65" t="s">
        <v>107</v>
      </c>
      <c r="L224" s="160"/>
      <c r="M224" s="160"/>
      <c r="N224" s="160"/>
      <c r="O224" s="161"/>
    </row>
    <row r="225" spans="1:15" ht="15" customHeight="1" x14ac:dyDescent="0.25">
      <c r="A225" s="154" t="s">
        <v>816</v>
      </c>
      <c r="B225" s="61" t="s">
        <v>817</v>
      </c>
      <c r="C225" s="63" t="s">
        <v>889</v>
      </c>
      <c r="D225" s="61" t="s">
        <v>890</v>
      </c>
      <c r="E225" s="61" t="s">
        <v>818</v>
      </c>
      <c r="F225" s="62" t="s">
        <v>819</v>
      </c>
      <c r="G225" s="61" t="s">
        <v>801</v>
      </c>
      <c r="H225" s="61" t="s">
        <v>802</v>
      </c>
      <c r="I225" s="64">
        <v>1030</v>
      </c>
      <c r="J225" s="67"/>
      <c r="K225" s="65" t="s">
        <v>107</v>
      </c>
      <c r="L225" s="160"/>
      <c r="M225" s="160"/>
      <c r="N225" s="160"/>
      <c r="O225" s="162"/>
    </row>
    <row r="226" spans="1:15" ht="15" customHeight="1" x14ac:dyDescent="0.25">
      <c r="A226" s="154" t="s">
        <v>816</v>
      </c>
      <c r="B226" s="61" t="s">
        <v>817</v>
      </c>
      <c r="C226" s="63" t="s">
        <v>889</v>
      </c>
      <c r="D226" s="61" t="s">
        <v>890</v>
      </c>
      <c r="E226" s="61" t="s">
        <v>944</v>
      </c>
      <c r="F226" s="62" t="s">
        <v>945</v>
      </c>
      <c r="G226" s="61" t="s">
        <v>801</v>
      </c>
      <c r="H226" s="61" t="s">
        <v>802</v>
      </c>
      <c r="I226" s="64">
        <v>1613</v>
      </c>
      <c r="J226" s="67"/>
      <c r="K226" s="65" t="s">
        <v>107</v>
      </c>
      <c r="L226" s="160"/>
      <c r="M226" s="160"/>
      <c r="N226" s="160"/>
      <c r="O226" s="161"/>
    </row>
    <row r="227" spans="1:15" ht="15" customHeight="1" x14ac:dyDescent="0.25">
      <c r="A227" s="154" t="s">
        <v>816</v>
      </c>
      <c r="B227" s="61" t="s">
        <v>817</v>
      </c>
      <c r="C227" s="63" t="s">
        <v>889</v>
      </c>
      <c r="D227" s="61" t="s">
        <v>890</v>
      </c>
      <c r="E227" s="61" t="s">
        <v>1002</v>
      </c>
      <c r="F227" s="62" t="s">
        <v>1003</v>
      </c>
      <c r="G227" s="61" t="s">
        <v>801</v>
      </c>
      <c r="H227" s="61" t="s">
        <v>802</v>
      </c>
      <c r="I227" s="64">
        <v>4813</v>
      </c>
      <c r="J227" s="67"/>
      <c r="K227" s="65" t="s">
        <v>107</v>
      </c>
      <c r="L227" s="160"/>
      <c r="M227" s="160"/>
      <c r="N227" s="160"/>
      <c r="O227" s="162"/>
    </row>
    <row r="228" spans="1:15" ht="15" customHeight="1" x14ac:dyDescent="0.25">
      <c r="A228" s="154" t="s">
        <v>816</v>
      </c>
      <c r="B228" s="61" t="s">
        <v>817</v>
      </c>
      <c r="C228" s="63" t="s">
        <v>889</v>
      </c>
      <c r="D228" s="61" t="s">
        <v>890</v>
      </c>
      <c r="E228" s="61" t="s">
        <v>984</v>
      </c>
      <c r="F228" s="62" t="s">
        <v>985</v>
      </c>
      <c r="G228" s="61" t="s">
        <v>801</v>
      </c>
      <c r="H228" s="61" t="s">
        <v>802</v>
      </c>
      <c r="I228" s="64">
        <v>21838</v>
      </c>
      <c r="J228" s="67"/>
      <c r="K228" s="65" t="s">
        <v>107</v>
      </c>
      <c r="L228" s="160"/>
      <c r="M228" s="160"/>
      <c r="N228" s="160"/>
      <c r="O228" s="161"/>
    </row>
    <row r="229" spans="1:15" ht="15" customHeight="1" x14ac:dyDescent="0.25">
      <c r="A229" s="154" t="s">
        <v>816</v>
      </c>
      <c r="B229" s="61" t="s">
        <v>817</v>
      </c>
      <c r="C229" s="63" t="s">
        <v>889</v>
      </c>
      <c r="D229" s="61" t="s">
        <v>890</v>
      </c>
      <c r="E229" s="61" t="s">
        <v>824</v>
      </c>
      <c r="F229" s="62" t="s">
        <v>825</v>
      </c>
      <c r="G229" s="61" t="s">
        <v>801</v>
      </c>
      <c r="H229" s="61" t="s">
        <v>802</v>
      </c>
      <c r="I229" s="64">
        <v>26146</v>
      </c>
      <c r="J229" s="67"/>
      <c r="K229" s="65" t="s">
        <v>107</v>
      </c>
      <c r="L229" s="160"/>
      <c r="M229" s="160"/>
      <c r="N229" s="160"/>
      <c r="O229" s="162"/>
    </row>
    <row r="230" spans="1:15" ht="15" customHeight="1" x14ac:dyDescent="0.25">
      <c r="A230" s="154" t="s">
        <v>816</v>
      </c>
      <c r="B230" s="61" t="s">
        <v>817</v>
      </c>
      <c r="C230" s="63" t="s">
        <v>889</v>
      </c>
      <c r="D230" s="61" t="s">
        <v>890</v>
      </c>
      <c r="E230" s="61" t="s">
        <v>826</v>
      </c>
      <c r="F230" s="62" t="s">
        <v>827</v>
      </c>
      <c r="G230" s="61" t="s">
        <v>801</v>
      </c>
      <c r="H230" s="61" t="s">
        <v>802</v>
      </c>
      <c r="I230" s="64">
        <v>2303</v>
      </c>
      <c r="J230" s="67"/>
      <c r="K230" s="65" t="s">
        <v>107</v>
      </c>
      <c r="L230" s="160"/>
      <c r="M230" s="160"/>
      <c r="N230" s="160"/>
      <c r="O230" s="161"/>
    </row>
    <row r="231" spans="1:15" ht="15" customHeight="1" x14ac:dyDescent="0.25">
      <c r="A231" s="154" t="s">
        <v>816</v>
      </c>
      <c r="B231" s="61" t="s">
        <v>817</v>
      </c>
      <c r="C231" s="63" t="s">
        <v>889</v>
      </c>
      <c r="D231" s="61" t="s">
        <v>890</v>
      </c>
      <c r="E231" s="61" t="s">
        <v>828</v>
      </c>
      <c r="F231" s="62" t="s">
        <v>829</v>
      </c>
      <c r="G231" s="61" t="s">
        <v>801</v>
      </c>
      <c r="H231" s="61" t="s">
        <v>802</v>
      </c>
      <c r="I231" s="64">
        <v>10640</v>
      </c>
      <c r="J231" s="67"/>
      <c r="K231" s="65" t="s">
        <v>107</v>
      </c>
      <c r="L231" s="160"/>
      <c r="M231" s="160"/>
      <c r="N231" s="160"/>
      <c r="O231" s="162"/>
    </row>
    <row r="232" spans="1:15" ht="15" customHeight="1" x14ac:dyDescent="0.25">
      <c r="A232" s="154" t="s">
        <v>816</v>
      </c>
      <c r="B232" s="61" t="s">
        <v>817</v>
      </c>
      <c r="C232" s="63" t="s">
        <v>889</v>
      </c>
      <c r="D232" s="61" t="s">
        <v>890</v>
      </c>
      <c r="E232" s="61" t="s">
        <v>830</v>
      </c>
      <c r="F232" s="62" t="s">
        <v>831</v>
      </c>
      <c r="G232" s="61" t="s">
        <v>801</v>
      </c>
      <c r="H232" s="61" t="s">
        <v>802</v>
      </c>
      <c r="I232" s="64">
        <v>5962</v>
      </c>
      <c r="J232" s="67"/>
      <c r="K232" s="65" t="s">
        <v>107</v>
      </c>
      <c r="L232" s="160"/>
      <c r="M232" s="160"/>
      <c r="N232" s="160"/>
      <c r="O232" s="161"/>
    </row>
    <row r="233" spans="1:15" ht="15" customHeight="1" x14ac:dyDescent="0.25">
      <c r="A233" s="154" t="s">
        <v>816</v>
      </c>
      <c r="B233" s="61" t="s">
        <v>817</v>
      </c>
      <c r="C233" s="63" t="s">
        <v>889</v>
      </c>
      <c r="D233" s="61" t="s">
        <v>890</v>
      </c>
      <c r="E233" s="61" t="s">
        <v>836</v>
      </c>
      <c r="F233" s="62" t="s">
        <v>837</v>
      </c>
      <c r="G233" s="61" t="s">
        <v>801</v>
      </c>
      <c r="H233" s="61" t="s">
        <v>802</v>
      </c>
      <c r="I233" s="64">
        <v>10440</v>
      </c>
      <c r="J233" s="67"/>
      <c r="K233" s="65" t="s">
        <v>107</v>
      </c>
      <c r="L233" s="160"/>
      <c r="M233" s="160"/>
      <c r="N233" s="160"/>
      <c r="O233" s="162"/>
    </row>
    <row r="234" spans="1:15" ht="15" customHeight="1" x14ac:dyDescent="0.25">
      <c r="A234" s="154" t="s">
        <v>816</v>
      </c>
      <c r="B234" s="61" t="s">
        <v>817</v>
      </c>
      <c r="C234" s="63" t="s">
        <v>889</v>
      </c>
      <c r="D234" s="61" t="s">
        <v>890</v>
      </c>
      <c r="E234" s="61" t="s">
        <v>912</v>
      </c>
      <c r="F234" s="62" t="s">
        <v>913</v>
      </c>
      <c r="G234" s="61" t="s">
        <v>801</v>
      </c>
      <c r="H234" s="61" t="s">
        <v>802</v>
      </c>
      <c r="I234" s="64">
        <v>2377</v>
      </c>
      <c r="J234" s="67"/>
      <c r="K234" s="65" t="s">
        <v>107</v>
      </c>
      <c r="L234" s="160"/>
      <c r="M234" s="160"/>
      <c r="N234" s="160"/>
      <c r="O234" s="161"/>
    </row>
    <row r="235" spans="1:15" ht="15" customHeight="1" x14ac:dyDescent="0.25">
      <c r="A235" s="154" t="s">
        <v>816</v>
      </c>
      <c r="B235" s="61" t="s">
        <v>817</v>
      </c>
      <c r="C235" s="63" t="s">
        <v>889</v>
      </c>
      <c r="D235" s="61" t="s">
        <v>890</v>
      </c>
      <c r="E235" s="61" t="s">
        <v>914</v>
      </c>
      <c r="F235" s="62" t="s">
        <v>915</v>
      </c>
      <c r="G235" s="61" t="s">
        <v>801</v>
      </c>
      <c r="H235" s="61" t="s">
        <v>802</v>
      </c>
      <c r="I235" s="64">
        <v>1192</v>
      </c>
      <c r="J235" s="67"/>
      <c r="K235" s="65" t="s">
        <v>107</v>
      </c>
      <c r="L235" s="160"/>
      <c r="M235" s="160"/>
      <c r="N235" s="160"/>
      <c r="O235" s="162"/>
    </row>
    <row r="236" spans="1:15" ht="15" customHeight="1" x14ac:dyDescent="0.25">
      <c r="A236" s="154" t="s">
        <v>816</v>
      </c>
      <c r="B236" s="61" t="s">
        <v>817</v>
      </c>
      <c r="C236" s="63" t="s">
        <v>889</v>
      </c>
      <c r="D236" s="61" t="s">
        <v>890</v>
      </c>
      <c r="E236" s="61" t="s">
        <v>838</v>
      </c>
      <c r="F236" s="62" t="s">
        <v>839</v>
      </c>
      <c r="G236" s="61" t="s">
        <v>801</v>
      </c>
      <c r="H236" s="61" t="s">
        <v>802</v>
      </c>
      <c r="I236" s="64">
        <v>632</v>
      </c>
      <c r="J236" s="67"/>
      <c r="K236" s="65" t="s">
        <v>107</v>
      </c>
      <c r="L236" s="160"/>
      <c r="M236" s="160"/>
      <c r="N236" s="160"/>
      <c r="O236" s="161"/>
    </row>
    <row r="237" spans="1:15" ht="15" customHeight="1" x14ac:dyDescent="0.25">
      <c r="A237" s="154" t="s">
        <v>816</v>
      </c>
      <c r="B237" s="61" t="s">
        <v>817</v>
      </c>
      <c r="C237" s="63" t="s">
        <v>889</v>
      </c>
      <c r="D237" s="61" t="s">
        <v>890</v>
      </c>
      <c r="E237" s="61" t="s">
        <v>861</v>
      </c>
      <c r="F237" s="62" t="s">
        <v>862</v>
      </c>
      <c r="G237" s="61" t="s">
        <v>801</v>
      </c>
      <c r="H237" s="61" t="s">
        <v>802</v>
      </c>
      <c r="I237" s="64">
        <v>9428</v>
      </c>
      <c r="J237" s="67"/>
      <c r="K237" s="65" t="s">
        <v>107</v>
      </c>
      <c r="L237" s="160"/>
      <c r="M237" s="160"/>
      <c r="N237" s="160"/>
      <c r="O237" s="162"/>
    </row>
    <row r="238" spans="1:15" ht="15" customHeight="1" x14ac:dyDescent="0.25">
      <c r="A238" s="154" t="s">
        <v>816</v>
      </c>
      <c r="B238" s="61" t="s">
        <v>817</v>
      </c>
      <c r="C238" s="63" t="s">
        <v>889</v>
      </c>
      <c r="D238" s="61" t="s">
        <v>890</v>
      </c>
      <c r="E238" s="61" t="s">
        <v>863</v>
      </c>
      <c r="F238" s="62" t="s">
        <v>864</v>
      </c>
      <c r="G238" s="61" t="s">
        <v>801</v>
      </c>
      <c r="H238" s="61" t="s">
        <v>802</v>
      </c>
      <c r="I238" s="64">
        <v>3340</v>
      </c>
      <c r="J238" s="67"/>
      <c r="K238" s="70" t="s">
        <v>107</v>
      </c>
      <c r="L238" s="160"/>
      <c r="M238" s="160"/>
      <c r="N238" s="160"/>
      <c r="O238" s="161"/>
    </row>
    <row r="239" spans="1:15" ht="15" customHeight="1" x14ac:dyDescent="0.25">
      <c r="A239" s="154" t="s">
        <v>816</v>
      </c>
      <c r="B239" s="61" t="s">
        <v>817</v>
      </c>
      <c r="C239" s="63" t="s">
        <v>889</v>
      </c>
      <c r="D239" s="61" t="s">
        <v>890</v>
      </c>
      <c r="E239" s="61" t="s">
        <v>867</v>
      </c>
      <c r="F239" s="62" t="s">
        <v>868</v>
      </c>
      <c r="G239" s="61" t="s">
        <v>801</v>
      </c>
      <c r="H239" s="61" t="s">
        <v>802</v>
      </c>
      <c r="I239" s="64">
        <v>11000</v>
      </c>
      <c r="J239" s="67"/>
      <c r="K239" s="70" t="s">
        <v>107</v>
      </c>
      <c r="L239" s="160"/>
      <c r="M239" s="160"/>
      <c r="N239" s="160"/>
      <c r="O239" s="162"/>
    </row>
    <row r="240" spans="1:15" ht="15" customHeight="1" x14ac:dyDescent="0.25">
      <c r="A240" s="154" t="s">
        <v>816</v>
      </c>
      <c r="B240" s="61" t="s">
        <v>817</v>
      </c>
      <c r="C240" s="63" t="s">
        <v>889</v>
      </c>
      <c r="D240" s="61" t="s">
        <v>890</v>
      </c>
      <c r="E240" s="61" t="s">
        <v>946</v>
      </c>
      <c r="F240" s="62" t="s">
        <v>947</v>
      </c>
      <c r="G240" s="61" t="s">
        <v>801</v>
      </c>
      <c r="H240" s="61" t="s">
        <v>802</v>
      </c>
      <c r="I240" s="64">
        <v>9891</v>
      </c>
      <c r="J240" s="67"/>
      <c r="K240" s="70" t="s">
        <v>107</v>
      </c>
      <c r="L240" s="160"/>
      <c r="M240" s="160"/>
      <c r="N240" s="160"/>
      <c r="O240" s="161"/>
    </row>
    <row r="241" spans="1:15" ht="15" customHeight="1" x14ac:dyDescent="0.25">
      <c r="A241" s="154" t="s">
        <v>816</v>
      </c>
      <c r="B241" s="61" t="s">
        <v>817</v>
      </c>
      <c r="C241" s="63" t="s">
        <v>889</v>
      </c>
      <c r="D241" s="61" t="s">
        <v>890</v>
      </c>
      <c r="E241" s="61" t="s">
        <v>879</v>
      </c>
      <c r="F241" s="62" t="s">
        <v>880</v>
      </c>
      <c r="G241" s="61" t="s">
        <v>801</v>
      </c>
      <c r="H241" s="61" t="s">
        <v>802</v>
      </c>
      <c r="I241" s="64">
        <v>29247</v>
      </c>
      <c r="J241" s="67"/>
      <c r="K241" s="70" t="s">
        <v>108</v>
      </c>
      <c r="L241" s="160"/>
      <c r="M241" s="160"/>
      <c r="N241" s="160"/>
      <c r="O241" s="162"/>
    </row>
    <row r="242" spans="1:15" ht="15" customHeight="1" x14ac:dyDescent="0.25">
      <c r="A242" s="154" t="s">
        <v>816</v>
      </c>
      <c r="B242" s="61" t="s">
        <v>817</v>
      </c>
      <c r="C242" s="63" t="s">
        <v>889</v>
      </c>
      <c r="D242" s="61" t="s">
        <v>890</v>
      </c>
      <c r="E242" s="61" t="s">
        <v>980</v>
      </c>
      <c r="F242" s="62" t="s">
        <v>981</v>
      </c>
      <c r="G242" s="61" t="s">
        <v>801</v>
      </c>
      <c r="H242" s="61" t="s">
        <v>802</v>
      </c>
      <c r="I242" s="64">
        <v>-650303</v>
      </c>
      <c r="J242" s="67"/>
      <c r="K242" s="70" t="s">
        <v>111</v>
      </c>
      <c r="L242" s="160"/>
      <c r="M242" s="160"/>
      <c r="N242" s="160"/>
      <c r="O242" s="161"/>
    </row>
    <row r="243" spans="1:15" ht="15" customHeight="1" x14ac:dyDescent="0.25">
      <c r="A243" s="154" t="s">
        <v>816</v>
      </c>
      <c r="B243" s="61" t="s">
        <v>817</v>
      </c>
      <c r="C243" s="63" t="s">
        <v>889</v>
      </c>
      <c r="D243" s="61" t="s">
        <v>890</v>
      </c>
      <c r="E243" s="61" t="s">
        <v>920</v>
      </c>
      <c r="F243" s="62" t="s">
        <v>921</v>
      </c>
      <c r="G243" s="61" t="s">
        <v>801</v>
      </c>
      <c r="H243" s="61" t="s">
        <v>802</v>
      </c>
      <c r="I243" s="64">
        <v>-120238</v>
      </c>
      <c r="J243" s="67"/>
      <c r="K243" s="70" t="s">
        <v>109</v>
      </c>
      <c r="L243" s="160"/>
      <c r="M243" s="160"/>
      <c r="N243" s="160"/>
      <c r="O243" s="162"/>
    </row>
    <row r="244" spans="1:15" ht="15" customHeight="1" x14ac:dyDescent="0.25">
      <c r="A244" s="154" t="s">
        <v>816</v>
      </c>
      <c r="B244" s="61" t="s">
        <v>817</v>
      </c>
      <c r="C244" s="63" t="s">
        <v>889</v>
      </c>
      <c r="D244" s="61" t="s">
        <v>890</v>
      </c>
      <c r="E244" s="61" t="s">
        <v>885</v>
      </c>
      <c r="F244" s="62" t="s">
        <v>886</v>
      </c>
      <c r="G244" s="61" t="s">
        <v>801</v>
      </c>
      <c r="H244" s="61" t="s">
        <v>802</v>
      </c>
      <c r="I244" s="64">
        <v>-383268</v>
      </c>
      <c r="J244" s="67"/>
      <c r="K244" s="70" t="s">
        <v>109</v>
      </c>
      <c r="L244" s="160"/>
      <c r="M244" s="160"/>
      <c r="N244" s="160"/>
      <c r="O244" s="161"/>
    </row>
    <row r="245" spans="1:15" ht="15" customHeight="1" x14ac:dyDescent="0.25">
      <c r="A245" s="154" t="s">
        <v>816</v>
      </c>
      <c r="B245" s="61" t="s">
        <v>817</v>
      </c>
      <c r="C245" s="63" t="s">
        <v>889</v>
      </c>
      <c r="D245" s="61" t="s">
        <v>890</v>
      </c>
      <c r="E245" s="61" t="s">
        <v>1012</v>
      </c>
      <c r="F245" s="62" t="s">
        <v>1013</v>
      </c>
      <c r="G245" s="61" t="s">
        <v>801</v>
      </c>
      <c r="H245" s="61" t="s">
        <v>802</v>
      </c>
      <c r="I245" s="64">
        <v>-344696</v>
      </c>
      <c r="J245" s="67"/>
      <c r="K245" s="65" t="s">
        <v>109</v>
      </c>
      <c r="L245" s="160"/>
      <c r="M245" s="160"/>
      <c r="N245" s="160"/>
      <c r="O245" s="162"/>
    </row>
    <row r="246" spans="1:15" ht="15" customHeight="1" x14ac:dyDescent="0.25">
      <c r="A246" s="154" t="s">
        <v>816</v>
      </c>
      <c r="B246" s="61" t="s">
        <v>817</v>
      </c>
      <c r="C246" s="63" t="s">
        <v>889</v>
      </c>
      <c r="D246" s="61" t="s">
        <v>890</v>
      </c>
      <c r="E246" s="61" t="s">
        <v>887</v>
      </c>
      <c r="F246" s="62" t="s">
        <v>888</v>
      </c>
      <c r="G246" s="61" t="s">
        <v>801</v>
      </c>
      <c r="H246" s="61" t="s">
        <v>802</v>
      </c>
      <c r="I246" s="64">
        <v>-29247</v>
      </c>
      <c r="J246" s="67"/>
      <c r="K246" s="65" t="s">
        <v>110</v>
      </c>
      <c r="L246" s="160"/>
      <c r="M246" s="160"/>
      <c r="N246" s="160"/>
      <c r="O246" s="161"/>
    </row>
    <row r="247" spans="1:15" ht="15" customHeight="1" x14ac:dyDescent="0.25">
      <c r="A247" s="154" t="s">
        <v>848</v>
      </c>
      <c r="B247" s="69" t="s">
        <v>849</v>
      </c>
      <c r="C247" s="69" t="s">
        <v>889</v>
      </c>
      <c r="D247" s="66" t="s">
        <v>890</v>
      </c>
      <c r="E247" s="66" t="s">
        <v>944</v>
      </c>
      <c r="F247" s="67" t="s">
        <v>945</v>
      </c>
      <c r="G247" s="66" t="s">
        <v>820</v>
      </c>
      <c r="H247" s="66" t="s">
        <v>821</v>
      </c>
      <c r="I247" s="67">
        <v>2183</v>
      </c>
      <c r="J247" s="67"/>
      <c r="K247" s="70" t="s">
        <v>113</v>
      </c>
      <c r="L247" s="160"/>
      <c r="M247" s="160"/>
      <c r="N247" s="160"/>
      <c r="O247" s="162" t="s">
        <v>821</v>
      </c>
    </row>
    <row r="248" spans="1:15" ht="15" customHeight="1" x14ac:dyDescent="0.25">
      <c r="A248" s="154" t="s">
        <v>848</v>
      </c>
      <c r="B248" s="69" t="s">
        <v>849</v>
      </c>
      <c r="C248" s="69" t="s">
        <v>889</v>
      </c>
      <c r="D248" s="66" t="s">
        <v>890</v>
      </c>
      <c r="E248" s="66" t="s">
        <v>867</v>
      </c>
      <c r="F248" s="67" t="s">
        <v>868</v>
      </c>
      <c r="G248" s="66" t="s">
        <v>820</v>
      </c>
      <c r="H248" s="66" t="s">
        <v>821</v>
      </c>
      <c r="I248" s="67">
        <v>1916</v>
      </c>
      <c r="J248" s="67"/>
      <c r="K248" s="70" t="s">
        <v>113</v>
      </c>
      <c r="L248" s="160"/>
      <c r="M248" s="160"/>
      <c r="N248" s="160"/>
      <c r="O248" s="161" t="s">
        <v>821</v>
      </c>
    </row>
    <row r="249" spans="1:15" ht="15" customHeight="1" x14ac:dyDescent="0.25">
      <c r="A249" s="154" t="s">
        <v>848</v>
      </c>
      <c r="B249" s="69" t="s">
        <v>849</v>
      </c>
      <c r="C249" s="69" t="s">
        <v>889</v>
      </c>
      <c r="D249" s="66" t="s">
        <v>890</v>
      </c>
      <c r="E249" s="66" t="s">
        <v>879</v>
      </c>
      <c r="F249" s="67" t="s">
        <v>880</v>
      </c>
      <c r="G249" s="66" t="s">
        <v>820</v>
      </c>
      <c r="H249" s="66" t="s">
        <v>821</v>
      </c>
      <c r="I249" s="67">
        <v>479</v>
      </c>
      <c r="J249" s="67"/>
      <c r="K249" s="70" t="s">
        <v>113</v>
      </c>
      <c r="L249" s="160"/>
      <c r="M249" s="160"/>
      <c r="N249" s="160"/>
      <c r="O249" s="162" t="s">
        <v>821</v>
      </c>
    </row>
    <row r="250" spans="1:15" ht="15" customHeight="1" x14ac:dyDescent="0.25">
      <c r="A250" s="154" t="s">
        <v>848</v>
      </c>
      <c r="B250" s="69" t="s">
        <v>849</v>
      </c>
      <c r="C250" s="69" t="s">
        <v>889</v>
      </c>
      <c r="D250" s="66" t="s">
        <v>890</v>
      </c>
      <c r="E250" s="66" t="s">
        <v>887</v>
      </c>
      <c r="F250" s="67" t="s">
        <v>888</v>
      </c>
      <c r="G250" s="66" t="s">
        <v>820</v>
      </c>
      <c r="H250" s="66" t="s">
        <v>821</v>
      </c>
      <c r="I250" s="67">
        <v>-479</v>
      </c>
      <c r="J250" s="67"/>
      <c r="K250" s="70" t="s">
        <v>113</v>
      </c>
      <c r="L250" s="160"/>
      <c r="M250" s="160"/>
      <c r="N250" s="160"/>
      <c r="O250" s="161" t="s">
        <v>821</v>
      </c>
    </row>
    <row r="251" spans="1:15" ht="15" customHeight="1" x14ac:dyDescent="0.25">
      <c r="A251" s="154" t="s">
        <v>848</v>
      </c>
      <c r="B251" s="69" t="s">
        <v>849</v>
      </c>
      <c r="C251" s="69" t="s">
        <v>889</v>
      </c>
      <c r="D251" s="66" t="s">
        <v>890</v>
      </c>
      <c r="E251" s="66" t="s">
        <v>924</v>
      </c>
      <c r="F251" s="68" t="s">
        <v>925</v>
      </c>
      <c r="G251" s="66" t="s">
        <v>952</v>
      </c>
      <c r="H251" s="66" t="s">
        <v>953</v>
      </c>
      <c r="I251" s="67">
        <v>3592</v>
      </c>
      <c r="J251" s="67"/>
      <c r="K251" s="70" t="s">
        <v>113</v>
      </c>
      <c r="L251" s="160"/>
      <c r="M251" s="160"/>
      <c r="N251" s="160"/>
      <c r="O251" s="162" t="s">
        <v>953</v>
      </c>
    </row>
    <row r="252" spans="1:15" ht="15" customHeight="1" x14ac:dyDescent="0.25">
      <c r="A252" s="154" t="s">
        <v>848</v>
      </c>
      <c r="B252" s="69" t="s">
        <v>849</v>
      </c>
      <c r="C252" s="69" t="s">
        <v>889</v>
      </c>
      <c r="D252" s="66" t="s">
        <v>890</v>
      </c>
      <c r="E252" s="66" t="s">
        <v>936</v>
      </c>
      <c r="F252" s="68" t="s">
        <v>937</v>
      </c>
      <c r="G252" s="66" t="s">
        <v>952</v>
      </c>
      <c r="H252" s="66" t="s">
        <v>953</v>
      </c>
      <c r="I252" s="67">
        <v>29060</v>
      </c>
      <c r="J252" s="67"/>
      <c r="K252" s="70" t="s">
        <v>113</v>
      </c>
      <c r="L252" s="160"/>
      <c r="M252" s="160"/>
      <c r="N252" s="160"/>
      <c r="O252" s="161" t="s">
        <v>953</v>
      </c>
    </row>
    <row r="253" spans="1:15" ht="15" customHeight="1" x14ac:dyDescent="0.25">
      <c r="A253" s="154" t="s">
        <v>848</v>
      </c>
      <c r="B253" s="69" t="s">
        <v>849</v>
      </c>
      <c r="C253" s="69" t="s">
        <v>889</v>
      </c>
      <c r="D253" s="66" t="s">
        <v>890</v>
      </c>
      <c r="E253" s="66" t="s">
        <v>815</v>
      </c>
      <c r="F253" s="68" t="s">
        <v>141</v>
      </c>
      <c r="G253" s="66" t="s">
        <v>952</v>
      </c>
      <c r="H253" s="66" t="s">
        <v>953</v>
      </c>
      <c r="I253" s="67">
        <v>1843</v>
      </c>
      <c r="J253" s="67"/>
      <c r="K253" s="70" t="s">
        <v>113</v>
      </c>
      <c r="L253" s="160"/>
      <c r="M253" s="160"/>
      <c r="N253" s="160"/>
      <c r="O253" s="162" t="s">
        <v>953</v>
      </c>
    </row>
    <row r="254" spans="1:15" ht="15" customHeight="1" x14ac:dyDescent="0.25">
      <c r="A254" s="154" t="s">
        <v>848</v>
      </c>
      <c r="B254" s="66" t="s">
        <v>849</v>
      </c>
      <c r="C254" s="69" t="s">
        <v>889</v>
      </c>
      <c r="D254" s="66" t="s">
        <v>890</v>
      </c>
      <c r="E254" s="66" t="s">
        <v>940</v>
      </c>
      <c r="F254" s="68" t="s">
        <v>941</v>
      </c>
      <c r="G254" s="66" t="s">
        <v>978</v>
      </c>
      <c r="H254" s="66" t="s">
        <v>979</v>
      </c>
      <c r="I254" s="67">
        <v>-11114</v>
      </c>
      <c r="J254" s="67"/>
      <c r="K254" s="70" t="s">
        <v>111</v>
      </c>
      <c r="L254" s="160"/>
      <c r="M254" s="160"/>
      <c r="N254" s="160"/>
      <c r="O254" s="161"/>
    </row>
    <row r="255" spans="1:15" ht="15" customHeight="1" x14ac:dyDescent="0.25">
      <c r="A255" s="154" t="s">
        <v>848</v>
      </c>
      <c r="B255" s="66" t="s">
        <v>849</v>
      </c>
      <c r="C255" s="69" t="s">
        <v>889</v>
      </c>
      <c r="D255" s="66" t="s">
        <v>890</v>
      </c>
      <c r="E255" s="66" t="s">
        <v>980</v>
      </c>
      <c r="F255" s="68" t="s">
        <v>981</v>
      </c>
      <c r="G255" s="66" t="s">
        <v>978</v>
      </c>
      <c r="H255" s="66" t="s">
        <v>979</v>
      </c>
      <c r="I255" s="67">
        <v>11114</v>
      </c>
      <c r="J255" s="67"/>
      <c r="K255" s="70" t="s">
        <v>111</v>
      </c>
      <c r="L255" s="160"/>
      <c r="M255" s="160"/>
      <c r="N255" s="160"/>
      <c r="O255" s="162"/>
    </row>
    <row r="256" spans="1:15" ht="15" customHeight="1" x14ac:dyDescent="0.25">
      <c r="A256" s="154" t="s">
        <v>848</v>
      </c>
      <c r="B256" s="69" t="s">
        <v>849</v>
      </c>
      <c r="C256" s="69" t="s">
        <v>889</v>
      </c>
      <c r="D256" s="66" t="s">
        <v>890</v>
      </c>
      <c r="E256" s="66" t="s">
        <v>950</v>
      </c>
      <c r="F256" s="68" t="s">
        <v>951</v>
      </c>
      <c r="G256" s="66" t="s">
        <v>982</v>
      </c>
      <c r="H256" s="66" t="s">
        <v>983</v>
      </c>
      <c r="I256" s="67">
        <v>102066</v>
      </c>
      <c r="J256" s="67"/>
      <c r="K256" s="70" t="s">
        <v>119</v>
      </c>
      <c r="L256" s="160"/>
      <c r="M256" s="160"/>
      <c r="N256" s="160"/>
      <c r="O256" s="162"/>
    </row>
    <row r="257" spans="1:15" ht="15" customHeight="1" x14ac:dyDescent="0.25">
      <c r="A257" s="154" t="s">
        <v>848</v>
      </c>
      <c r="B257" s="69" t="s">
        <v>849</v>
      </c>
      <c r="C257" s="69" t="s">
        <v>889</v>
      </c>
      <c r="D257" s="66" t="s">
        <v>890</v>
      </c>
      <c r="E257" s="66" t="s">
        <v>828</v>
      </c>
      <c r="F257" s="68" t="s">
        <v>829</v>
      </c>
      <c r="G257" s="66" t="s">
        <v>982</v>
      </c>
      <c r="H257" s="66" t="s">
        <v>983</v>
      </c>
      <c r="I257" s="67">
        <v>767</v>
      </c>
      <c r="J257" s="67"/>
      <c r="K257" s="70" t="s">
        <v>119</v>
      </c>
      <c r="L257" s="160"/>
      <c r="M257" s="160"/>
      <c r="N257" s="160"/>
      <c r="O257" s="161"/>
    </row>
    <row r="258" spans="1:15" ht="15" customHeight="1" x14ac:dyDescent="0.25">
      <c r="A258" s="154" t="s">
        <v>848</v>
      </c>
      <c r="B258" s="69" t="s">
        <v>849</v>
      </c>
      <c r="C258" s="69" t="s">
        <v>889</v>
      </c>
      <c r="D258" s="66" t="s">
        <v>890</v>
      </c>
      <c r="E258" s="66" t="s">
        <v>865</v>
      </c>
      <c r="F258" s="68" t="s">
        <v>866</v>
      </c>
      <c r="G258" s="66" t="s">
        <v>982</v>
      </c>
      <c r="H258" s="66" t="s">
        <v>983</v>
      </c>
      <c r="I258" s="67">
        <v>1123</v>
      </c>
      <c r="J258" s="67"/>
      <c r="K258" s="70" t="s">
        <v>119</v>
      </c>
      <c r="L258" s="160"/>
      <c r="M258" s="160"/>
      <c r="N258" s="160"/>
      <c r="O258" s="162"/>
    </row>
    <row r="259" spans="1:15" ht="15" customHeight="1" x14ac:dyDescent="0.25">
      <c r="A259" s="154" t="s">
        <v>848</v>
      </c>
      <c r="B259" s="69" t="s">
        <v>849</v>
      </c>
      <c r="C259" s="69" t="s">
        <v>889</v>
      </c>
      <c r="D259" s="66" t="s">
        <v>890</v>
      </c>
      <c r="E259" s="66" t="s">
        <v>879</v>
      </c>
      <c r="F259" s="68" t="s">
        <v>880</v>
      </c>
      <c r="G259" s="66" t="s">
        <v>982</v>
      </c>
      <c r="H259" s="66" t="s">
        <v>983</v>
      </c>
      <c r="I259" s="67">
        <v>15524</v>
      </c>
      <c r="J259" s="67"/>
      <c r="K259" s="70" t="s">
        <v>119</v>
      </c>
      <c r="L259" s="160"/>
      <c r="M259" s="160"/>
      <c r="N259" s="160"/>
      <c r="O259" s="161"/>
    </row>
    <row r="260" spans="1:15" ht="15" customHeight="1" x14ac:dyDescent="0.25">
      <c r="A260" s="154" t="s">
        <v>848</v>
      </c>
      <c r="B260" s="69" t="s">
        <v>849</v>
      </c>
      <c r="C260" s="69" t="s">
        <v>889</v>
      </c>
      <c r="D260" s="66" t="s">
        <v>890</v>
      </c>
      <c r="E260" s="66" t="s">
        <v>980</v>
      </c>
      <c r="F260" s="68" t="s">
        <v>981</v>
      </c>
      <c r="G260" s="66" t="s">
        <v>982</v>
      </c>
      <c r="H260" s="66" t="s">
        <v>983</v>
      </c>
      <c r="I260" s="67">
        <v>-35275</v>
      </c>
      <c r="J260" s="67"/>
      <c r="K260" s="70" t="s">
        <v>119</v>
      </c>
      <c r="L260" s="160"/>
      <c r="M260" s="160"/>
      <c r="N260" s="160"/>
      <c r="O260" s="162"/>
    </row>
    <row r="261" spans="1:15" ht="15" customHeight="1" x14ac:dyDescent="0.25">
      <c r="A261" s="154" t="s">
        <v>848</v>
      </c>
      <c r="B261" s="69" t="s">
        <v>849</v>
      </c>
      <c r="C261" s="69" t="s">
        <v>889</v>
      </c>
      <c r="D261" s="66" t="s">
        <v>890</v>
      </c>
      <c r="E261" s="66" t="s">
        <v>887</v>
      </c>
      <c r="F261" s="68" t="s">
        <v>888</v>
      </c>
      <c r="G261" s="66" t="s">
        <v>982</v>
      </c>
      <c r="H261" s="66" t="s">
        <v>983</v>
      </c>
      <c r="I261" s="67">
        <v>-15524</v>
      </c>
      <c r="J261" s="67"/>
      <c r="K261" s="70" t="s">
        <v>119</v>
      </c>
      <c r="L261" s="160"/>
      <c r="M261" s="160"/>
      <c r="N261" s="160"/>
      <c r="O261" s="161"/>
    </row>
    <row r="262" spans="1:15" ht="15" customHeight="1" x14ac:dyDescent="0.25">
      <c r="A262" s="154" t="s">
        <v>848</v>
      </c>
      <c r="B262" s="69" t="s">
        <v>849</v>
      </c>
      <c r="C262" s="69" t="s">
        <v>889</v>
      </c>
      <c r="D262" s="66" t="s">
        <v>890</v>
      </c>
      <c r="E262" s="66" t="s">
        <v>916</v>
      </c>
      <c r="F262" s="68" t="s">
        <v>917</v>
      </c>
      <c r="G262" s="66" t="s">
        <v>982</v>
      </c>
      <c r="H262" s="66" t="s">
        <v>983</v>
      </c>
      <c r="I262" s="67">
        <v>-92033</v>
      </c>
      <c r="J262" s="67"/>
      <c r="K262" s="70" t="s">
        <v>119</v>
      </c>
      <c r="L262" s="160"/>
      <c r="M262" s="160"/>
      <c r="N262" s="160"/>
      <c r="O262" s="162"/>
    </row>
    <row r="263" spans="1:15" ht="15" customHeight="1" x14ac:dyDescent="0.25">
      <c r="A263" s="154" t="s">
        <v>848</v>
      </c>
      <c r="B263" s="66" t="s">
        <v>849</v>
      </c>
      <c r="C263" s="69" t="s">
        <v>889</v>
      </c>
      <c r="D263" s="66" t="s">
        <v>890</v>
      </c>
      <c r="E263" s="66" t="s">
        <v>940</v>
      </c>
      <c r="F263" s="68" t="s">
        <v>941</v>
      </c>
      <c r="G263" s="66" t="s">
        <v>932</v>
      </c>
      <c r="H263" s="66" t="s">
        <v>986</v>
      </c>
      <c r="I263" s="67">
        <v>-34935</v>
      </c>
      <c r="J263" s="67"/>
      <c r="K263" s="70" t="s">
        <v>111</v>
      </c>
      <c r="L263" s="160"/>
      <c r="M263" s="160"/>
      <c r="N263" s="160"/>
      <c r="O263" s="162"/>
    </row>
    <row r="264" spans="1:15" ht="15" customHeight="1" x14ac:dyDescent="0.25">
      <c r="A264" s="154" t="s">
        <v>848</v>
      </c>
      <c r="B264" s="66" t="s">
        <v>849</v>
      </c>
      <c r="C264" s="69" t="s">
        <v>889</v>
      </c>
      <c r="D264" s="66" t="s">
        <v>890</v>
      </c>
      <c r="E264" s="66" t="s">
        <v>980</v>
      </c>
      <c r="F264" s="68" t="s">
        <v>981</v>
      </c>
      <c r="G264" s="66" t="s">
        <v>932</v>
      </c>
      <c r="H264" s="66" t="s">
        <v>986</v>
      </c>
      <c r="I264" s="67">
        <v>32910</v>
      </c>
      <c r="J264" s="67"/>
      <c r="K264" s="70" t="s">
        <v>111</v>
      </c>
      <c r="L264" s="160"/>
      <c r="M264" s="160"/>
      <c r="N264" s="160"/>
      <c r="O264" s="161"/>
    </row>
    <row r="265" spans="1:15" ht="15" customHeight="1" x14ac:dyDescent="0.25">
      <c r="A265" s="154" t="s">
        <v>848</v>
      </c>
      <c r="B265" s="61" t="s">
        <v>849</v>
      </c>
      <c r="C265" s="63" t="s">
        <v>889</v>
      </c>
      <c r="D265" s="61" t="s">
        <v>890</v>
      </c>
      <c r="E265" s="61" t="s">
        <v>924</v>
      </c>
      <c r="F265" s="62" t="s">
        <v>925</v>
      </c>
      <c r="G265" s="61" t="s">
        <v>801</v>
      </c>
      <c r="H265" s="61" t="s">
        <v>802</v>
      </c>
      <c r="I265" s="64">
        <v>-13926</v>
      </c>
      <c r="J265" s="67"/>
      <c r="K265" s="70" t="s">
        <v>103</v>
      </c>
      <c r="L265" s="160"/>
      <c r="M265" s="160"/>
      <c r="N265" s="160"/>
      <c r="O265" s="162"/>
    </row>
    <row r="266" spans="1:15" ht="15" customHeight="1" x14ac:dyDescent="0.25">
      <c r="A266" s="154" t="s">
        <v>848</v>
      </c>
      <c r="B266" s="61" t="s">
        <v>849</v>
      </c>
      <c r="C266" s="63" t="s">
        <v>889</v>
      </c>
      <c r="D266" s="61" t="s">
        <v>890</v>
      </c>
      <c r="E266" s="61" t="s">
        <v>893</v>
      </c>
      <c r="F266" s="62" t="s">
        <v>894</v>
      </c>
      <c r="G266" s="61" t="s">
        <v>801</v>
      </c>
      <c r="H266" s="61" t="s">
        <v>802</v>
      </c>
      <c r="I266" s="64">
        <v>4142721</v>
      </c>
      <c r="J266" s="67"/>
      <c r="K266" s="65" t="s">
        <v>103</v>
      </c>
      <c r="L266" s="160"/>
      <c r="M266" s="160"/>
      <c r="N266" s="160"/>
      <c r="O266" s="161"/>
    </row>
    <row r="267" spans="1:15" ht="15" customHeight="1" x14ac:dyDescent="0.25">
      <c r="A267" s="154" t="s">
        <v>848</v>
      </c>
      <c r="B267" s="61" t="s">
        <v>849</v>
      </c>
      <c r="C267" s="63" t="s">
        <v>889</v>
      </c>
      <c r="D267" s="61" t="s">
        <v>890</v>
      </c>
      <c r="E267" s="61" t="s">
        <v>896</v>
      </c>
      <c r="F267" s="62" t="s">
        <v>897</v>
      </c>
      <c r="G267" s="61" t="s">
        <v>801</v>
      </c>
      <c r="H267" s="61" t="s">
        <v>802</v>
      </c>
      <c r="I267" s="64">
        <v>64277</v>
      </c>
      <c r="J267" s="67"/>
      <c r="K267" s="65" t="s">
        <v>103</v>
      </c>
      <c r="L267" s="160"/>
      <c r="M267" s="160"/>
      <c r="N267" s="160"/>
      <c r="O267" s="162"/>
    </row>
    <row r="268" spans="1:15" ht="15" customHeight="1" x14ac:dyDescent="0.25">
      <c r="A268" s="154" t="s">
        <v>848</v>
      </c>
      <c r="B268" s="61" t="s">
        <v>849</v>
      </c>
      <c r="C268" s="63" t="s">
        <v>889</v>
      </c>
      <c r="D268" s="61" t="s">
        <v>890</v>
      </c>
      <c r="E268" s="61" t="s">
        <v>968</v>
      </c>
      <c r="F268" s="62" t="s">
        <v>969</v>
      </c>
      <c r="G268" s="61" t="s">
        <v>801</v>
      </c>
      <c r="H268" s="61" t="s">
        <v>802</v>
      </c>
      <c r="I268" s="64">
        <v>17872</v>
      </c>
      <c r="J268" s="67"/>
      <c r="K268" s="65" t="s">
        <v>103</v>
      </c>
      <c r="L268" s="160"/>
      <c r="M268" s="160"/>
      <c r="N268" s="160"/>
      <c r="O268" s="161"/>
    </row>
    <row r="269" spans="1:15" ht="15" customHeight="1" x14ac:dyDescent="0.25">
      <c r="A269" s="154" t="s">
        <v>848</v>
      </c>
      <c r="B269" s="61" t="s">
        <v>849</v>
      </c>
      <c r="C269" s="63" t="s">
        <v>889</v>
      </c>
      <c r="D269" s="61" t="s">
        <v>890</v>
      </c>
      <c r="E269" s="61" t="s">
        <v>902</v>
      </c>
      <c r="F269" s="62" t="s">
        <v>903</v>
      </c>
      <c r="G269" s="61" t="s">
        <v>801</v>
      </c>
      <c r="H269" s="61" t="s">
        <v>802</v>
      </c>
      <c r="I269" s="64">
        <v>410</v>
      </c>
      <c r="J269" s="67"/>
      <c r="K269" s="65" t="s">
        <v>103</v>
      </c>
      <c r="L269" s="160"/>
      <c r="M269" s="160"/>
      <c r="N269" s="160"/>
      <c r="O269" s="162"/>
    </row>
    <row r="270" spans="1:15" ht="15" customHeight="1" x14ac:dyDescent="0.25">
      <c r="A270" s="154" t="s">
        <v>848</v>
      </c>
      <c r="B270" s="61" t="s">
        <v>849</v>
      </c>
      <c r="C270" s="63" t="s">
        <v>889</v>
      </c>
      <c r="D270" s="61" t="s">
        <v>890</v>
      </c>
      <c r="E270" s="61" t="s">
        <v>904</v>
      </c>
      <c r="F270" s="62" t="s">
        <v>905</v>
      </c>
      <c r="G270" s="61" t="s">
        <v>801</v>
      </c>
      <c r="H270" s="61" t="s">
        <v>802</v>
      </c>
      <c r="I270" s="64">
        <v>280532</v>
      </c>
      <c r="J270" s="67"/>
      <c r="K270" s="65" t="s">
        <v>103</v>
      </c>
      <c r="L270" s="160"/>
      <c r="M270" s="160"/>
      <c r="N270" s="160"/>
      <c r="O270" s="161"/>
    </row>
    <row r="271" spans="1:15" ht="15" customHeight="1" x14ac:dyDescent="0.25">
      <c r="A271" s="154" t="s">
        <v>848</v>
      </c>
      <c r="B271" s="61" t="s">
        <v>849</v>
      </c>
      <c r="C271" s="63" t="s">
        <v>889</v>
      </c>
      <c r="D271" s="61" t="s">
        <v>890</v>
      </c>
      <c r="E271" s="61" t="s">
        <v>936</v>
      </c>
      <c r="F271" s="62" t="s">
        <v>937</v>
      </c>
      <c r="G271" s="61" t="s">
        <v>801</v>
      </c>
      <c r="H271" s="61" t="s">
        <v>802</v>
      </c>
      <c r="I271" s="64">
        <v>8458</v>
      </c>
      <c r="J271" s="67"/>
      <c r="K271" s="65" t="s">
        <v>103</v>
      </c>
      <c r="L271" s="160"/>
      <c r="M271" s="160"/>
      <c r="N271" s="160"/>
      <c r="O271" s="162"/>
    </row>
    <row r="272" spans="1:15" ht="15" customHeight="1" x14ac:dyDescent="0.25">
      <c r="A272" s="154" t="s">
        <v>848</v>
      </c>
      <c r="B272" s="61" t="s">
        <v>849</v>
      </c>
      <c r="C272" s="63" t="s">
        <v>889</v>
      </c>
      <c r="D272" s="61" t="s">
        <v>890</v>
      </c>
      <c r="E272" s="61" t="s">
        <v>906</v>
      </c>
      <c r="F272" s="62" t="s">
        <v>907</v>
      </c>
      <c r="G272" s="61" t="s">
        <v>801</v>
      </c>
      <c r="H272" s="61" t="s">
        <v>802</v>
      </c>
      <c r="I272" s="64">
        <v>1534</v>
      </c>
      <c r="J272" s="67"/>
      <c r="K272" s="65" t="s">
        <v>103</v>
      </c>
      <c r="L272" s="160"/>
      <c r="M272" s="160"/>
      <c r="N272" s="160"/>
      <c r="O272" s="161"/>
    </row>
    <row r="273" spans="1:15" ht="15" customHeight="1" x14ac:dyDescent="0.25">
      <c r="A273" s="154" t="s">
        <v>848</v>
      </c>
      <c r="B273" s="61" t="s">
        <v>849</v>
      </c>
      <c r="C273" s="63" t="s">
        <v>889</v>
      </c>
      <c r="D273" s="61" t="s">
        <v>890</v>
      </c>
      <c r="E273" s="61" t="s">
        <v>807</v>
      </c>
      <c r="F273" s="62" t="s">
        <v>808</v>
      </c>
      <c r="G273" s="61" t="s">
        <v>801</v>
      </c>
      <c r="H273" s="61" t="s">
        <v>802</v>
      </c>
      <c r="I273" s="64">
        <v>707604</v>
      </c>
      <c r="J273" s="67"/>
      <c r="K273" s="65" t="s">
        <v>104</v>
      </c>
      <c r="L273" s="160"/>
      <c r="M273" s="160"/>
      <c r="N273" s="160"/>
      <c r="O273" s="162"/>
    </row>
    <row r="274" spans="1:15" ht="15" customHeight="1" x14ac:dyDescent="0.25">
      <c r="A274" s="154" t="s">
        <v>848</v>
      </c>
      <c r="B274" s="61" t="s">
        <v>849</v>
      </c>
      <c r="C274" s="63" t="s">
        <v>889</v>
      </c>
      <c r="D274" s="61" t="s">
        <v>890</v>
      </c>
      <c r="E274" s="61" t="s">
        <v>813</v>
      </c>
      <c r="F274" s="62" t="s">
        <v>814</v>
      </c>
      <c r="G274" s="61" t="s">
        <v>801</v>
      </c>
      <c r="H274" s="61" t="s">
        <v>802</v>
      </c>
      <c r="I274" s="64">
        <v>6327</v>
      </c>
      <c r="J274" s="67"/>
      <c r="K274" s="65" t="s">
        <v>103</v>
      </c>
      <c r="L274" s="160"/>
      <c r="M274" s="160"/>
      <c r="N274" s="160"/>
      <c r="O274" s="161"/>
    </row>
    <row r="275" spans="1:15" ht="15" customHeight="1" x14ac:dyDescent="0.25">
      <c r="A275" s="154" t="s">
        <v>848</v>
      </c>
      <c r="B275" s="61" t="s">
        <v>849</v>
      </c>
      <c r="C275" s="63" t="s">
        <v>889</v>
      </c>
      <c r="D275" s="61" t="s">
        <v>890</v>
      </c>
      <c r="E275" s="61" t="s">
        <v>815</v>
      </c>
      <c r="F275" s="62" t="s">
        <v>141</v>
      </c>
      <c r="G275" s="61" t="s">
        <v>801</v>
      </c>
      <c r="H275" s="61" t="s">
        <v>802</v>
      </c>
      <c r="I275" s="64">
        <v>709104</v>
      </c>
      <c r="J275" s="67"/>
      <c r="K275" s="65" t="s">
        <v>105</v>
      </c>
      <c r="L275" s="160"/>
      <c r="M275" s="160"/>
      <c r="N275" s="160"/>
      <c r="O275" s="162"/>
    </row>
    <row r="276" spans="1:15" ht="15" customHeight="1" x14ac:dyDescent="0.25">
      <c r="A276" s="154" t="s">
        <v>848</v>
      </c>
      <c r="B276" s="61" t="s">
        <v>849</v>
      </c>
      <c r="C276" s="63" t="s">
        <v>889</v>
      </c>
      <c r="D276" s="61" t="s">
        <v>890</v>
      </c>
      <c r="E276" s="61" t="s">
        <v>938</v>
      </c>
      <c r="F276" s="62" t="s">
        <v>939</v>
      </c>
      <c r="G276" s="61" t="s">
        <v>801</v>
      </c>
      <c r="H276" s="61" t="s">
        <v>802</v>
      </c>
      <c r="I276" s="64">
        <v>3087</v>
      </c>
      <c r="J276" s="67"/>
      <c r="K276" s="65" t="s">
        <v>107</v>
      </c>
      <c r="L276" s="160"/>
      <c r="M276" s="160"/>
      <c r="N276" s="160"/>
      <c r="O276" s="161"/>
    </row>
    <row r="277" spans="1:15" ht="15" customHeight="1" x14ac:dyDescent="0.25">
      <c r="A277" s="154" t="s">
        <v>848</v>
      </c>
      <c r="B277" s="61" t="s">
        <v>849</v>
      </c>
      <c r="C277" s="63" t="s">
        <v>889</v>
      </c>
      <c r="D277" s="61" t="s">
        <v>890</v>
      </c>
      <c r="E277" s="61" t="s">
        <v>1014</v>
      </c>
      <c r="F277" s="62" t="s">
        <v>1015</v>
      </c>
      <c r="G277" s="61" t="s">
        <v>801</v>
      </c>
      <c r="H277" s="61" t="s">
        <v>802</v>
      </c>
      <c r="I277" s="64">
        <v>495</v>
      </c>
      <c r="J277" s="67"/>
      <c r="K277" s="65" t="s">
        <v>107</v>
      </c>
      <c r="L277" s="160"/>
      <c r="M277" s="160"/>
      <c r="N277" s="160"/>
      <c r="O277" s="162"/>
    </row>
    <row r="278" spans="1:15" ht="15" customHeight="1" x14ac:dyDescent="0.25">
      <c r="A278" s="154" t="s">
        <v>848</v>
      </c>
      <c r="B278" s="61" t="s">
        <v>849</v>
      </c>
      <c r="C278" s="63" t="s">
        <v>889</v>
      </c>
      <c r="D278" s="61" t="s">
        <v>890</v>
      </c>
      <c r="E278" s="61" t="s">
        <v>944</v>
      </c>
      <c r="F278" s="62" t="s">
        <v>945</v>
      </c>
      <c r="G278" s="61" t="s">
        <v>801</v>
      </c>
      <c r="H278" s="61" t="s">
        <v>802</v>
      </c>
      <c r="I278" s="64">
        <v>6220</v>
      </c>
      <c r="J278" s="67"/>
      <c r="K278" s="65" t="s">
        <v>107</v>
      </c>
      <c r="L278" s="160"/>
      <c r="M278" s="160"/>
      <c r="N278" s="160"/>
      <c r="O278" s="161"/>
    </row>
    <row r="279" spans="1:15" ht="15" customHeight="1" x14ac:dyDescent="0.25">
      <c r="A279" s="154" t="s">
        <v>848</v>
      </c>
      <c r="B279" s="61" t="s">
        <v>849</v>
      </c>
      <c r="C279" s="63" t="s">
        <v>889</v>
      </c>
      <c r="D279" s="61" t="s">
        <v>890</v>
      </c>
      <c r="E279" s="61" t="s">
        <v>1002</v>
      </c>
      <c r="F279" s="62" t="s">
        <v>1003</v>
      </c>
      <c r="G279" s="61" t="s">
        <v>801</v>
      </c>
      <c r="H279" s="61" t="s">
        <v>802</v>
      </c>
      <c r="I279" s="64">
        <v>321</v>
      </c>
      <c r="J279" s="67"/>
      <c r="K279" s="65" t="s">
        <v>107</v>
      </c>
      <c r="L279" s="160"/>
      <c r="M279" s="160"/>
      <c r="N279" s="160"/>
      <c r="O279" s="162"/>
    </row>
    <row r="280" spans="1:15" ht="15" customHeight="1" x14ac:dyDescent="0.25">
      <c r="A280" s="154" t="s">
        <v>848</v>
      </c>
      <c r="B280" s="61" t="s">
        <v>849</v>
      </c>
      <c r="C280" s="63" t="s">
        <v>889</v>
      </c>
      <c r="D280" s="61" t="s">
        <v>890</v>
      </c>
      <c r="E280" s="61" t="s">
        <v>984</v>
      </c>
      <c r="F280" s="62" t="s">
        <v>985</v>
      </c>
      <c r="G280" s="61" t="s">
        <v>801</v>
      </c>
      <c r="H280" s="61" t="s">
        <v>802</v>
      </c>
      <c r="I280" s="64">
        <v>8664</v>
      </c>
      <c r="J280" s="67"/>
      <c r="K280" s="65" t="s">
        <v>107</v>
      </c>
      <c r="L280" s="160"/>
      <c r="M280" s="160"/>
      <c r="N280" s="160"/>
      <c r="O280" s="161"/>
    </row>
    <row r="281" spans="1:15" ht="15" customHeight="1" x14ac:dyDescent="0.25">
      <c r="A281" s="154" t="s">
        <v>848</v>
      </c>
      <c r="B281" s="61" t="s">
        <v>849</v>
      </c>
      <c r="C281" s="63" t="s">
        <v>889</v>
      </c>
      <c r="D281" s="61" t="s">
        <v>890</v>
      </c>
      <c r="E281" s="61" t="s">
        <v>824</v>
      </c>
      <c r="F281" s="62" t="s">
        <v>825</v>
      </c>
      <c r="G281" s="61" t="s">
        <v>801</v>
      </c>
      <c r="H281" s="61" t="s">
        <v>802</v>
      </c>
      <c r="I281" s="64">
        <v>7132</v>
      </c>
      <c r="J281" s="67"/>
      <c r="K281" s="65" t="s">
        <v>107</v>
      </c>
      <c r="L281" s="160"/>
      <c r="M281" s="160"/>
      <c r="N281" s="160"/>
      <c r="O281" s="162"/>
    </row>
    <row r="282" spans="1:15" ht="15" customHeight="1" x14ac:dyDescent="0.25">
      <c r="A282" s="154" t="s">
        <v>848</v>
      </c>
      <c r="B282" s="61" t="s">
        <v>849</v>
      </c>
      <c r="C282" s="63" t="s">
        <v>889</v>
      </c>
      <c r="D282" s="61" t="s">
        <v>890</v>
      </c>
      <c r="E282" s="61" t="s">
        <v>826</v>
      </c>
      <c r="F282" s="62" t="s">
        <v>827</v>
      </c>
      <c r="G282" s="61" t="s">
        <v>801</v>
      </c>
      <c r="H282" s="61" t="s">
        <v>802</v>
      </c>
      <c r="I282" s="64">
        <v>3723</v>
      </c>
      <c r="J282" s="67"/>
      <c r="K282" s="65" t="s">
        <v>107</v>
      </c>
      <c r="L282" s="160"/>
      <c r="M282" s="160"/>
      <c r="N282" s="160"/>
      <c r="O282" s="161"/>
    </row>
    <row r="283" spans="1:15" ht="15" customHeight="1" x14ac:dyDescent="0.25">
      <c r="A283" s="154" t="s">
        <v>848</v>
      </c>
      <c r="B283" s="61" t="s">
        <v>849</v>
      </c>
      <c r="C283" s="63" t="s">
        <v>889</v>
      </c>
      <c r="D283" s="61" t="s">
        <v>890</v>
      </c>
      <c r="E283" s="61" t="s">
        <v>828</v>
      </c>
      <c r="F283" s="62" t="s">
        <v>829</v>
      </c>
      <c r="G283" s="61" t="s">
        <v>801</v>
      </c>
      <c r="H283" s="61" t="s">
        <v>802</v>
      </c>
      <c r="I283" s="64">
        <v>2617</v>
      </c>
      <c r="J283" s="67"/>
      <c r="K283" s="65" t="s">
        <v>107</v>
      </c>
      <c r="L283" s="160"/>
      <c r="M283" s="160"/>
      <c r="N283" s="160"/>
      <c r="O283" s="162"/>
    </row>
    <row r="284" spans="1:15" ht="15" customHeight="1" x14ac:dyDescent="0.25">
      <c r="A284" s="154" t="s">
        <v>848</v>
      </c>
      <c r="B284" s="61" t="s">
        <v>849</v>
      </c>
      <c r="C284" s="63" t="s">
        <v>889</v>
      </c>
      <c r="D284" s="61" t="s">
        <v>890</v>
      </c>
      <c r="E284" s="61" t="s">
        <v>830</v>
      </c>
      <c r="F284" s="62" t="s">
        <v>831</v>
      </c>
      <c r="G284" s="61" t="s">
        <v>801</v>
      </c>
      <c r="H284" s="61" t="s">
        <v>802</v>
      </c>
      <c r="I284" s="64">
        <v>6589</v>
      </c>
      <c r="J284" s="67"/>
      <c r="K284" s="65" t="s">
        <v>107</v>
      </c>
      <c r="L284" s="160"/>
      <c r="M284" s="160"/>
      <c r="N284" s="160"/>
      <c r="O284" s="161"/>
    </row>
    <row r="285" spans="1:15" ht="15" customHeight="1" x14ac:dyDescent="0.25">
      <c r="A285" s="154" t="s">
        <v>848</v>
      </c>
      <c r="B285" s="61" t="s">
        <v>849</v>
      </c>
      <c r="C285" s="63" t="s">
        <v>889</v>
      </c>
      <c r="D285" s="61" t="s">
        <v>890</v>
      </c>
      <c r="E285" s="61" t="s">
        <v>836</v>
      </c>
      <c r="F285" s="62" t="s">
        <v>837</v>
      </c>
      <c r="G285" s="61" t="s">
        <v>801</v>
      </c>
      <c r="H285" s="61" t="s">
        <v>802</v>
      </c>
      <c r="I285" s="64">
        <v>4140</v>
      </c>
      <c r="J285" s="67"/>
      <c r="K285" s="65" t="s">
        <v>107</v>
      </c>
      <c r="L285" s="160"/>
      <c r="M285" s="160"/>
      <c r="N285" s="160"/>
      <c r="O285" s="162"/>
    </row>
    <row r="286" spans="1:15" ht="15" customHeight="1" x14ac:dyDescent="0.25">
      <c r="A286" s="154" t="s">
        <v>848</v>
      </c>
      <c r="B286" s="61" t="s">
        <v>849</v>
      </c>
      <c r="C286" s="63" t="s">
        <v>889</v>
      </c>
      <c r="D286" s="61" t="s">
        <v>890</v>
      </c>
      <c r="E286" s="61" t="s">
        <v>912</v>
      </c>
      <c r="F286" s="62" t="s">
        <v>913</v>
      </c>
      <c r="G286" s="61" t="s">
        <v>801</v>
      </c>
      <c r="H286" s="61" t="s">
        <v>802</v>
      </c>
      <c r="I286" s="64">
        <v>4257</v>
      </c>
      <c r="J286" s="67"/>
      <c r="K286" s="65" t="s">
        <v>107</v>
      </c>
      <c r="L286" s="160"/>
      <c r="M286" s="160"/>
      <c r="N286" s="160"/>
      <c r="O286" s="161"/>
    </row>
    <row r="287" spans="1:15" ht="15" customHeight="1" x14ac:dyDescent="0.25">
      <c r="A287" s="154" t="s">
        <v>848</v>
      </c>
      <c r="B287" s="61" t="s">
        <v>849</v>
      </c>
      <c r="C287" s="63" t="s">
        <v>889</v>
      </c>
      <c r="D287" s="61" t="s">
        <v>890</v>
      </c>
      <c r="E287" s="61" t="s">
        <v>914</v>
      </c>
      <c r="F287" s="62" t="s">
        <v>915</v>
      </c>
      <c r="G287" s="61" t="s">
        <v>801</v>
      </c>
      <c r="H287" s="61" t="s">
        <v>802</v>
      </c>
      <c r="I287" s="64">
        <v>4785</v>
      </c>
      <c r="J287" s="67"/>
      <c r="K287" s="65" t="s">
        <v>107</v>
      </c>
      <c r="L287" s="160"/>
      <c r="M287" s="160"/>
      <c r="N287" s="160"/>
      <c r="O287" s="162"/>
    </row>
    <row r="288" spans="1:15" ht="15" customHeight="1" x14ac:dyDescent="0.25">
      <c r="A288" s="154" t="s">
        <v>848</v>
      </c>
      <c r="B288" s="61" t="s">
        <v>849</v>
      </c>
      <c r="C288" s="63" t="s">
        <v>889</v>
      </c>
      <c r="D288" s="61" t="s">
        <v>890</v>
      </c>
      <c r="E288" s="61" t="s">
        <v>842</v>
      </c>
      <c r="F288" s="62" t="s">
        <v>843</v>
      </c>
      <c r="G288" s="61" t="s">
        <v>801</v>
      </c>
      <c r="H288" s="61" t="s">
        <v>802</v>
      </c>
      <c r="I288" s="64">
        <v>2330</v>
      </c>
      <c r="J288" s="67"/>
      <c r="K288" s="65" t="s">
        <v>107</v>
      </c>
      <c r="L288" s="160"/>
      <c r="M288" s="160"/>
      <c r="N288" s="160"/>
      <c r="O288" s="161"/>
    </row>
    <row r="289" spans="1:15" ht="15" customHeight="1" x14ac:dyDescent="0.25">
      <c r="A289" s="154" t="s">
        <v>848</v>
      </c>
      <c r="B289" s="61" t="s">
        <v>849</v>
      </c>
      <c r="C289" s="63" t="s">
        <v>889</v>
      </c>
      <c r="D289" s="61" t="s">
        <v>890</v>
      </c>
      <c r="E289" s="61" t="s">
        <v>846</v>
      </c>
      <c r="F289" s="62" t="s">
        <v>847</v>
      </c>
      <c r="G289" s="61" t="s">
        <v>801</v>
      </c>
      <c r="H289" s="61" t="s">
        <v>802</v>
      </c>
      <c r="I289" s="64">
        <v>25593</v>
      </c>
      <c r="J289" s="67"/>
      <c r="K289" s="65" t="s">
        <v>107</v>
      </c>
      <c r="L289" s="160"/>
      <c r="M289" s="160"/>
      <c r="N289" s="160"/>
      <c r="O289" s="162"/>
    </row>
    <row r="290" spans="1:15" ht="15" customHeight="1" x14ac:dyDescent="0.25">
      <c r="A290" s="154" t="s">
        <v>848</v>
      </c>
      <c r="B290" s="61" t="s">
        <v>849</v>
      </c>
      <c r="C290" s="63" t="s">
        <v>889</v>
      </c>
      <c r="D290" s="61" t="s">
        <v>890</v>
      </c>
      <c r="E290" s="61" t="s">
        <v>865</v>
      </c>
      <c r="F290" s="62" t="s">
        <v>866</v>
      </c>
      <c r="G290" s="61" t="s">
        <v>801</v>
      </c>
      <c r="H290" s="61" t="s">
        <v>802</v>
      </c>
      <c r="I290" s="64">
        <v>475</v>
      </c>
      <c r="J290" s="67"/>
      <c r="K290" s="65" t="s">
        <v>107</v>
      </c>
      <c r="L290" s="160"/>
      <c r="M290" s="160"/>
      <c r="N290" s="160"/>
      <c r="O290" s="161"/>
    </row>
    <row r="291" spans="1:15" ht="15" customHeight="1" x14ac:dyDescent="0.25">
      <c r="A291" s="154" t="s">
        <v>848</v>
      </c>
      <c r="B291" s="61" t="s">
        <v>849</v>
      </c>
      <c r="C291" s="63" t="s">
        <v>889</v>
      </c>
      <c r="D291" s="61" t="s">
        <v>890</v>
      </c>
      <c r="E291" s="61" t="s">
        <v>867</v>
      </c>
      <c r="F291" s="62" t="s">
        <v>868</v>
      </c>
      <c r="G291" s="61" t="s">
        <v>801</v>
      </c>
      <c r="H291" s="61" t="s">
        <v>802</v>
      </c>
      <c r="I291" s="64">
        <v>6298</v>
      </c>
      <c r="J291" s="67"/>
      <c r="K291" s="65" t="s">
        <v>107</v>
      </c>
      <c r="L291" s="160"/>
      <c r="M291" s="160"/>
      <c r="N291" s="160"/>
      <c r="O291" s="162"/>
    </row>
    <row r="292" spans="1:15" ht="15" customHeight="1" x14ac:dyDescent="0.25">
      <c r="A292" s="154" t="s">
        <v>848</v>
      </c>
      <c r="B292" s="61" t="s">
        <v>849</v>
      </c>
      <c r="C292" s="63" t="s">
        <v>889</v>
      </c>
      <c r="D292" s="61" t="s">
        <v>890</v>
      </c>
      <c r="E292" s="61" t="s">
        <v>946</v>
      </c>
      <c r="F292" s="62" t="s">
        <v>947</v>
      </c>
      <c r="G292" s="61" t="s">
        <v>801</v>
      </c>
      <c r="H292" s="61" t="s">
        <v>802</v>
      </c>
      <c r="I292" s="64">
        <v>10000</v>
      </c>
      <c r="J292" s="67"/>
      <c r="K292" s="65" t="s">
        <v>107</v>
      </c>
      <c r="L292" s="160"/>
      <c r="M292" s="160"/>
      <c r="N292" s="160"/>
      <c r="O292" s="161"/>
    </row>
    <row r="293" spans="1:15" ht="15" customHeight="1" x14ac:dyDescent="0.25">
      <c r="A293" s="154" t="s">
        <v>848</v>
      </c>
      <c r="B293" s="61" t="s">
        <v>849</v>
      </c>
      <c r="C293" s="63" t="s">
        <v>889</v>
      </c>
      <c r="D293" s="61" t="s">
        <v>890</v>
      </c>
      <c r="E293" s="61" t="s">
        <v>1008</v>
      </c>
      <c r="F293" s="62" t="s">
        <v>1009</v>
      </c>
      <c r="G293" s="61" t="s">
        <v>801</v>
      </c>
      <c r="H293" s="61" t="s">
        <v>802</v>
      </c>
      <c r="I293" s="64">
        <v>472</v>
      </c>
      <c r="J293" s="67"/>
      <c r="K293" s="65" t="s">
        <v>107</v>
      </c>
      <c r="L293" s="160"/>
      <c r="M293" s="160"/>
      <c r="N293" s="160"/>
      <c r="O293" s="162"/>
    </row>
    <row r="294" spans="1:15" ht="15" customHeight="1" x14ac:dyDescent="0.25">
      <c r="A294" s="154" t="s">
        <v>848</v>
      </c>
      <c r="B294" s="61" t="s">
        <v>849</v>
      </c>
      <c r="C294" s="63" t="s">
        <v>889</v>
      </c>
      <c r="D294" s="61" t="s">
        <v>890</v>
      </c>
      <c r="E294" s="61" t="s">
        <v>873</v>
      </c>
      <c r="F294" s="62" t="s">
        <v>874</v>
      </c>
      <c r="G294" s="61" t="s">
        <v>801</v>
      </c>
      <c r="H294" s="61" t="s">
        <v>802</v>
      </c>
      <c r="I294" s="64">
        <v>2190</v>
      </c>
      <c r="J294" s="67"/>
      <c r="K294" s="65" t="s">
        <v>107</v>
      </c>
      <c r="L294" s="160"/>
      <c r="M294" s="160"/>
      <c r="N294" s="160"/>
      <c r="O294" s="161"/>
    </row>
    <row r="295" spans="1:15" ht="15" customHeight="1" x14ac:dyDescent="0.25">
      <c r="A295" s="154" t="s">
        <v>848</v>
      </c>
      <c r="B295" s="61" t="s">
        <v>849</v>
      </c>
      <c r="C295" s="63" t="s">
        <v>889</v>
      </c>
      <c r="D295" s="61" t="s">
        <v>890</v>
      </c>
      <c r="E295" s="61" t="s">
        <v>879</v>
      </c>
      <c r="F295" s="62" t="s">
        <v>880</v>
      </c>
      <c r="G295" s="61" t="s">
        <v>801</v>
      </c>
      <c r="H295" s="61" t="s">
        <v>802</v>
      </c>
      <c r="I295" s="64">
        <v>22815</v>
      </c>
      <c r="J295" s="67"/>
      <c r="K295" s="65" t="s">
        <v>108</v>
      </c>
      <c r="L295" s="160"/>
      <c r="M295" s="160"/>
      <c r="N295" s="160"/>
      <c r="O295" s="162"/>
    </row>
    <row r="296" spans="1:15" ht="15" customHeight="1" x14ac:dyDescent="0.25">
      <c r="A296" s="154" t="s">
        <v>848</v>
      </c>
      <c r="B296" s="61" t="s">
        <v>849</v>
      </c>
      <c r="C296" s="63" t="s">
        <v>889</v>
      </c>
      <c r="D296" s="61" t="s">
        <v>890</v>
      </c>
      <c r="E296" s="61" t="s">
        <v>980</v>
      </c>
      <c r="F296" s="62" t="s">
        <v>981</v>
      </c>
      <c r="G296" s="61" t="s">
        <v>801</v>
      </c>
      <c r="H296" s="61" t="s">
        <v>802</v>
      </c>
      <c r="I296" s="64">
        <v>-392150</v>
      </c>
      <c r="J296" s="67"/>
      <c r="K296" s="65" t="s">
        <v>111</v>
      </c>
      <c r="L296" s="160"/>
      <c r="M296" s="160"/>
      <c r="N296" s="160"/>
      <c r="O296" s="161"/>
    </row>
    <row r="297" spans="1:15" ht="15" customHeight="1" x14ac:dyDescent="0.25">
      <c r="A297" s="154" t="s">
        <v>848</v>
      </c>
      <c r="B297" s="61" t="s">
        <v>849</v>
      </c>
      <c r="C297" s="63" t="s">
        <v>889</v>
      </c>
      <c r="D297" s="61" t="s">
        <v>890</v>
      </c>
      <c r="E297" s="61" t="s">
        <v>885</v>
      </c>
      <c r="F297" s="62" t="s">
        <v>886</v>
      </c>
      <c r="G297" s="61" t="s">
        <v>801</v>
      </c>
      <c r="H297" s="61" t="s">
        <v>802</v>
      </c>
      <c r="I297" s="64">
        <v>-99547</v>
      </c>
      <c r="J297" s="67"/>
      <c r="K297" s="65" t="s">
        <v>109</v>
      </c>
      <c r="L297" s="160"/>
      <c r="M297" s="160"/>
      <c r="N297" s="160"/>
      <c r="O297" s="162"/>
    </row>
    <row r="298" spans="1:15" ht="15" customHeight="1" x14ac:dyDescent="0.25">
      <c r="A298" s="154" t="s">
        <v>848</v>
      </c>
      <c r="B298" s="61" t="s">
        <v>849</v>
      </c>
      <c r="C298" s="63" t="s">
        <v>889</v>
      </c>
      <c r="D298" s="61" t="s">
        <v>890</v>
      </c>
      <c r="E298" s="61" t="s">
        <v>887</v>
      </c>
      <c r="F298" s="62" t="s">
        <v>888</v>
      </c>
      <c r="G298" s="61" t="s">
        <v>801</v>
      </c>
      <c r="H298" s="61" t="s">
        <v>802</v>
      </c>
      <c r="I298" s="64">
        <v>-22815</v>
      </c>
      <c r="J298" s="67"/>
      <c r="K298" s="65" t="s">
        <v>110</v>
      </c>
      <c r="L298" s="160"/>
      <c r="M298" s="160"/>
      <c r="N298" s="160"/>
      <c r="O298" s="161"/>
    </row>
    <row r="299" spans="1:15" ht="15" customHeight="1" x14ac:dyDescent="0.25">
      <c r="A299" s="154" t="s">
        <v>848</v>
      </c>
      <c r="B299" s="61" t="s">
        <v>849</v>
      </c>
      <c r="C299" s="63" t="s">
        <v>889</v>
      </c>
      <c r="D299" s="61" t="s">
        <v>890</v>
      </c>
      <c r="E299" s="61" t="s">
        <v>916</v>
      </c>
      <c r="F299" s="62" t="s">
        <v>917</v>
      </c>
      <c r="G299" s="61" t="s">
        <v>801</v>
      </c>
      <c r="H299" s="61" t="s">
        <v>802</v>
      </c>
      <c r="I299" s="64">
        <v>-3048</v>
      </c>
      <c r="J299" s="67"/>
      <c r="K299" s="65" t="s">
        <v>107</v>
      </c>
      <c r="L299" s="160"/>
      <c r="M299" s="160"/>
      <c r="N299" s="160"/>
      <c r="O299" s="162" t="s">
        <v>1016</v>
      </c>
    </row>
    <row r="300" spans="1:15" ht="15" customHeight="1" x14ac:dyDescent="0.25">
      <c r="A300" s="154" t="s">
        <v>852</v>
      </c>
      <c r="B300" s="69" t="s">
        <v>853</v>
      </c>
      <c r="C300" s="69" t="s">
        <v>889</v>
      </c>
      <c r="D300" s="66" t="s">
        <v>890</v>
      </c>
      <c r="E300" s="66" t="s">
        <v>924</v>
      </c>
      <c r="F300" s="68" t="s">
        <v>925</v>
      </c>
      <c r="G300" s="66" t="s">
        <v>952</v>
      </c>
      <c r="H300" s="66" t="s">
        <v>953</v>
      </c>
      <c r="I300" s="67">
        <v>337</v>
      </c>
      <c r="J300" s="67"/>
      <c r="K300" s="70" t="s">
        <v>113</v>
      </c>
      <c r="L300" s="160"/>
      <c r="M300" s="160"/>
      <c r="N300" s="160"/>
      <c r="O300" s="161" t="s">
        <v>953</v>
      </c>
    </row>
    <row r="301" spans="1:15" ht="15" customHeight="1" x14ac:dyDescent="0.25">
      <c r="A301" s="154" t="s">
        <v>852</v>
      </c>
      <c r="B301" s="69" t="s">
        <v>853</v>
      </c>
      <c r="C301" s="69" t="s">
        <v>889</v>
      </c>
      <c r="D301" s="66" t="s">
        <v>890</v>
      </c>
      <c r="E301" s="66" t="s">
        <v>936</v>
      </c>
      <c r="F301" s="68" t="s">
        <v>937</v>
      </c>
      <c r="G301" s="66" t="s">
        <v>952</v>
      </c>
      <c r="H301" s="66" t="s">
        <v>953</v>
      </c>
      <c r="I301" s="67">
        <v>3532</v>
      </c>
      <c r="J301" s="67"/>
      <c r="K301" s="70" t="s">
        <v>113</v>
      </c>
      <c r="L301" s="160"/>
      <c r="M301" s="160"/>
      <c r="N301" s="160"/>
      <c r="O301" s="162" t="s">
        <v>953</v>
      </c>
    </row>
    <row r="302" spans="1:15" ht="15" customHeight="1" x14ac:dyDescent="0.25">
      <c r="A302" s="154" t="s">
        <v>852</v>
      </c>
      <c r="B302" s="69" t="s">
        <v>853</v>
      </c>
      <c r="C302" s="69" t="s">
        <v>889</v>
      </c>
      <c r="D302" s="66" t="s">
        <v>890</v>
      </c>
      <c r="E302" s="66" t="s">
        <v>906</v>
      </c>
      <c r="F302" s="68" t="s">
        <v>907</v>
      </c>
      <c r="G302" s="66" t="s">
        <v>952</v>
      </c>
      <c r="H302" s="66" t="s">
        <v>953</v>
      </c>
      <c r="I302" s="67">
        <v>50</v>
      </c>
      <c r="J302" s="67"/>
      <c r="K302" s="70" t="s">
        <v>113</v>
      </c>
      <c r="L302" s="160"/>
      <c r="M302" s="160"/>
      <c r="N302" s="160"/>
      <c r="O302" s="161" t="s">
        <v>953</v>
      </c>
    </row>
    <row r="303" spans="1:15" ht="15" customHeight="1" x14ac:dyDescent="0.25">
      <c r="A303" s="154" t="s">
        <v>852</v>
      </c>
      <c r="B303" s="69" t="s">
        <v>853</v>
      </c>
      <c r="C303" s="69" t="s">
        <v>889</v>
      </c>
      <c r="D303" s="66" t="s">
        <v>890</v>
      </c>
      <c r="E303" s="66" t="s">
        <v>815</v>
      </c>
      <c r="F303" s="68" t="s">
        <v>141</v>
      </c>
      <c r="G303" s="66" t="s">
        <v>952</v>
      </c>
      <c r="H303" s="66" t="s">
        <v>953</v>
      </c>
      <c r="I303" s="67">
        <v>491</v>
      </c>
      <c r="J303" s="67"/>
      <c r="K303" s="70" t="s">
        <v>113</v>
      </c>
      <c r="L303" s="160"/>
      <c r="M303" s="160"/>
      <c r="N303" s="160"/>
      <c r="O303" s="162" t="s">
        <v>953</v>
      </c>
    </row>
    <row r="304" spans="1:15" ht="15" customHeight="1" x14ac:dyDescent="0.25">
      <c r="A304" s="154" t="s">
        <v>852</v>
      </c>
      <c r="B304" s="69" t="s">
        <v>853</v>
      </c>
      <c r="C304" s="69" t="s">
        <v>889</v>
      </c>
      <c r="D304" s="66" t="s">
        <v>890</v>
      </c>
      <c r="E304" s="66" t="s">
        <v>944</v>
      </c>
      <c r="F304" s="68" t="s">
        <v>945</v>
      </c>
      <c r="G304" s="66" t="s">
        <v>952</v>
      </c>
      <c r="H304" s="66" t="s">
        <v>953</v>
      </c>
      <c r="I304" s="67">
        <v>3380</v>
      </c>
      <c r="J304" s="67"/>
      <c r="K304" s="70" t="s">
        <v>113</v>
      </c>
      <c r="L304" s="160"/>
      <c r="M304" s="160"/>
      <c r="N304" s="160"/>
      <c r="O304" s="161" t="s">
        <v>953</v>
      </c>
    </row>
    <row r="305" spans="1:15" ht="15" customHeight="1" x14ac:dyDescent="0.25">
      <c r="A305" s="154" t="s">
        <v>852</v>
      </c>
      <c r="B305" s="69" t="s">
        <v>853</v>
      </c>
      <c r="C305" s="69" t="s">
        <v>889</v>
      </c>
      <c r="D305" s="66" t="s">
        <v>890</v>
      </c>
      <c r="E305" s="66" t="s">
        <v>912</v>
      </c>
      <c r="F305" s="68" t="s">
        <v>913</v>
      </c>
      <c r="G305" s="66" t="s">
        <v>952</v>
      </c>
      <c r="H305" s="66" t="s">
        <v>953</v>
      </c>
      <c r="I305" s="67">
        <v>149</v>
      </c>
      <c r="J305" s="67"/>
      <c r="K305" s="70" t="s">
        <v>113</v>
      </c>
      <c r="L305" s="160"/>
      <c r="M305" s="160"/>
      <c r="N305" s="160"/>
      <c r="O305" s="162" t="s">
        <v>953</v>
      </c>
    </row>
    <row r="306" spans="1:15" ht="15" customHeight="1" x14ac:dyDescent="0.25">
      <c r="A306" s="154" t="s">
        <v>852</v>
      </c>
      <c r="B306" s="69" t="s">
        <v>853</v>
      </c>
      <c r="C306" s="69" t="s">
        <v>889</v>
      </c>
      <c r="D306" s="66" t="s">
        <v>890</v>
      </c>
      <c r="E306" s="66" t="s">
        <v>914</v>
      </c>
      <c r="F306" s="68" t="s">
        <v>915</v>
      </c>
      <c r="G306" s="66" t="s">
        <v>952</v>
      </c>
      <c r="H306" s="66" t="s">
        <v>953</v>
      </c>
      <c r="I306" s="67">
        <v>253</v>
      </c>
      <c r="J306" s="67"/>
      <c r="K306" s="70" t="s">
        <v>113</v>
      </c>
      <c r="L306" s="160"/>
      <c r="M306" s="160"/>
      <c r="N306" s="160"/>
      <c r="O306" s="161" t="s">
        <v>953</v>
      </c>
    </row>
    <row r="307" spans="1:15" ht="15" customHeight="1" x14ac:dyDescent="0.25">
      <c r="A307" s="154" t="s">
        <v>852</v>
      </c>
      <c r="B307" s="69" t="s">
        <v>853</v>
      </c>
      <c r="C307" s="69" t="s">
        <v>889</v>
      </c>
      <c r="D307" s="66" t="s">
        <v>890</v>
      </c>
      <c r="E307" s="66" t="s">
        <v>867</v>
      </c>
      <c r="F307" s="68" t="s">
        <v>868</v>
      </c>
      <c r="G307" s="66" t="s">
        <v>952</v>
      </c>
      <c r="H307" s="66" t="s">
        <v>953</v>
      </c>
      <c r="I307" s="67">
        <v>394</v>
      </c>
      <c r="J307" s="67"/>
      <c r="K307" s="70" t="s">
        <v>113</v>
      </c>
      <c r="L307" s="160"/>
      <c r="M307" s="160"/>
      <c r="N307" s="160"/>
      <c r="O307" s="162" t="s">
        <v>953</v>
      </c>
    </row>
    <row r="308" spans="1:15" ht="15" customHeight="1" x14ac:dyDescent="0.25">
      <c r="A308" s="154" t="s">
        <v>852</v>
      </c>
      <c r="B308" s="69" t="s">
        <v>853</v>
      </c>
      <c r="C308" s="69" t="s">
        <v>889</v>
      </c>
      <c r="D308" s="66" t="s">
        <v>890</v>
      </c>
      <c r="E308" s="66" t="s">
        <v>879</v>
      </c>
      <c r="F308" s="68" t="s">
        <v>880</v>
      </c>
      <c r="G308" s="66" t="s">
        <v>952</v>
      </c>
      <c r="H308" s="66" t="s">
        <v>953</v>
      </c>
      <c r="I308" s="67">
        <v>470</v>
      </c>
      <c r="J308" s="67"/>
      <c r="K308" s="70" t="s">
        <v>113</v>
      </c>
      <c r="L308" s="160"/>
      <c r="M308" s="160"/>
      <c r="N308" s="160"/>
      <c r="O308" s="161" t="s">
        <v>953</v>
      </c>
    </row>
    <row r="309" spans="1:15" ht="15" customHeight="1" x14ac:dyDescent="0.25">
      <c r="A309" s="154" t="s">
        <v>852</v>
      </c>
      <c r="B309" s="69" t="s">
        <v>853</v>
      </c>
      <c r="C309" s="69" t="s">
        <v>889</v>
      </c>
      <c r="D309" s="66" t="s">
        <v>890</v>
      </c>
      <c r="E309" s="66" t="s">
        <v>887</v>
      </c>
      <c r="F309" s="68" t="s">
        <v>888</v>
      </c>
      <c r="G309" s="66" t="s">
        <v>952</v>
      </c>
      <c r="H309" s="66" t="s">
        <v>953</v>
      </c>
      <c r="I309" s="67">
        <v>-470</v>
      </c>
      <c r="J309" s="67"/>
      <c r="K309" s="70" t="s">
        <v>113</v>
      </c>
      <c r="L309" s="160"/>
      <c r="M309" s="160"/>
      <c r="N309" s="160"/>
      <c r="O309" s="162" t="s">
        <v>953</v>
      </c>
    </row>
    <row r="310" spans="1:15" s="196" customFormat="1" ht="15" customHeight="1" x14ac:dyDescent="0.25">
      <c r="A310" s="188" t="s">
        <v>852</v>
      </c>
      <c r="B310" s="190" t="s">
        <v>853</v>
      </c>
      <c r="C310" s="189" t="s">
        <v>889</v>
      </c>
      <c r="D310" s="190" t="s">
        <v>890</v>
      </c>
      <c r="E310" s="190" t="s">
        <v>924</v>
      </c>
      <c r="F310" s="191" t="s">
        <v>925</v>
      </c>
      <c r="G310" s="190" t="s">
        <v>966</v>
      </c>
      <c r="H310" s="190" t="s">
        <v>967</v>
      </c>
      <c r="I310" s="192">
        <v>3777</v>
      </c>
      <c r="J310" s="192"/>
      <c r="K310" s="193" t="s">
        <v>103</v>
      </c>
      <c r="L310" s="194"/>
      <c r="M310" s="194"/>
      <c r="N310" s="194"/>
      <c r="O310" s="197" t="s">
        <v>1025</v>
      </c>
    </row>
    <row r="311" spans="1:15" s="196" customFormat="1" ht="15" customHeight="1" x14ac:dyDescent="0.25">
      <c r="A311" s="188" t="s">
        <v>852</v>
      </c>
      <c r="B311" s="190" t="s">
        <v>853</v>
      </c>
      <c r="C311" s="189" t="s">
        <v>889</v>
      </c>
      <c r="D311" s="190" t="s">
        <v>890</v>
      </c>
      <c r="E311" s="190" t="s">
        <v>893</v>
      </c>
      <c r="F311" s="191" t="s">
        <v>894</v>
      </c>
      <c r="G311" s="190" t="s">
        <v>966</v>
      </c>
      <c r="H311" s="190" t="s">
        <v>967</v>
      </c>
      <c r="I311" s="192">
        <v>389909</v>
      </c>
      <c r="J311" s="192"/>
      <c r="K311" s="193" t="s">
        <v>103</v>
      </c>
      <c r="L311" s="194"/>
      <c r="M311" s="194"/>
      <c r="N311" s="194"/>
      <c r="O311" s="195" t="s">
        <v>1025</v>
      </c>
    </row>
    <row r="312" spans="1:15" s="196" customFormat="1" ht="15" customHeight="1" x14ac:dyDescent="0.25">
      <c r="A312" s="188" t="s">
        <v>852</v>
      </c>
      <c r="B312" s="190" t="s">
        <v>853</v>
      </c>
      <c r="C312" s="189" t="s">
        <v>889</v>
      </c>
      <c r="D312" s="190" t="s">
        <v>890</v>
      </c>
      <c r="E312" s="190" t="s">
        <v>968</v>
      </c>
      <c r="F312" s="191" t="s">
        <v>969</v>
      </c>
      <c r="G312" s="190" t="s">
        <v>966</v>
      </c>
      <c r="H312" s="190" t="s">
        <v>967</v>
      </c>
      <c r="I312" s="192">
        <v>3924</v>
      </c>
      <c r="J312" s="192"/>
      <c r="K312" s="193" t="s">
        <v>103</v>
      </c>
      <c r="L312" s="194"/>
      <c r="M312" s="194"/>
      <c r="N312" s="194"/>
      <c r="O312" s="197" t="s">
        <v>1025</v>
      </c>
    </row>
    <row r="313" spans="1:15" s="196" customFormat="1" ht="15" customHeight="1" x14ac:dyDescent="0.25">
      <c r="A313" s="188" t="s">
        <v>852</v>
      </c>
      <c r="B313" s="190" t="s">
        <v>853</v>
      </c>
      <c r="C313" s="189" t="s">
        <v>889</v>
      </c>
      <c r="D313" s="190" t="s">
        <v>890</v>
      </c>
      <c r="E313" s="190" t="s">
        <v>902</v>
      </c>
      <c r="F313" s="191" t="s">
        <v>903</v>
      </c>
      <c r="G313" s="190" t="s">
        <v>966</v>
      </c>
      <c r="H313" s="190" t="s">
        <v>967</v>
      </c>
      <c r="I313" s="192">
        <v>8503</v>
      </c>
      <c r="J313" s="192"/>
      <c r="K313" s="193" t="s">
        <v>103</v>
      </c>
      <c r="L313" s="194"/>
      <c r="M313" s="194"/>
      <c r="N313" s="194"/>
      <c r="O313" s="195" t="s">
        <v>1025</v>
      </c>
    </row>
    <row r="314" spans="1:15" s="196" customFormat="1" ht="15" customHeight="1" x14ac:dyDescent="0.25">
      <c r="A314" s="188" t="s">
        <v>852</v>
      </c>
      <c r="B314" s="190" t="s">
        <v>853</v>
      </c>
      <c r="C314" s="189" t="s">
        <v>889</v>
      </c>
      <c r="D314" s="190" t="s">
        <v>890</v>
      </c>
      <c r="E314" s="190" t="s">
        <v>964</v>
      </c>
      <c r="F314" s="191" t="s">
        <v>965</v>
      </c>
      <c r="G314" s="190" t="s">
        <v>966</v>
      </c>
      <c r="H314" s="190" t="s">
        <v>967</v>
      </c>
      <c r="I314" s="192">
        <v>72</v>
      </c>
      <c r="J314" s="192"/>
      <c r="K314" s="193" t="s">
        <v>103</v>
      </c>
      <c r="L314" s="194"/>
      <c r="M314" s="194"/>
      <c r="N314" s="194"/>
      <c r="O314" s="197" t="s">
        <v>1025</v>
      </c>
    </row>
    <row r="315" spans="1:15" s="196" customFormat="1" ht="15" customHeight="1" x14ac:dyDescent="0.25">
      <c r="A315" s="188" t="s">
        <v>852</v>
      </c>
      <c r="B315" s="190" t="s">
        <v>853</v>
      </c>
      <c r="C315" s="189" t="s">
        <v>889</v>
      </c>
      <c r="D315" s="190" t="s">
        <v>890</v>
      </c>
      <c r="E315" s="190" t="s">
        <v>936</v>
      </c>
      <c r="F315" s="191" t="s">
        <v>937</v>
      </c>
      <c r="G315" s="190" t="s">
        <v>966</v>
      </c>
      <c r="H315" s="190" t="s">
        <v>967</v>
      </c>
      <c r="I315" s="192">
        <v>2079</v>
      </c>
      <c r="J315" s="192"/>
      <c r="K315" s="193" t="s">
        <v>103</v>
      </c>
      <c r="L315" s="194"/>
      <c r="M315" s="194"/>
      <c r="N315" s="194"/>
      <c r="O315" s="195" t="s">
        <v>1025</v>
      </c>
    </row>
    <row r="316" spans="1:15" s="196" customFormat="1" ht="15" customHeight="1" x14ac:dyDescent="0.25">
      <c r="A316" s="188" t="s">
        <v>852</v>
      </c>
      <c r="B316" s="190" t="s">
        <v>853</v>
      </c>
      <c r="C316" s="189" t="s">
        <v>889</v>
      </c>
      <c r="D316" s="190" t="s">
        <v>890</v>
      </c>
      <c r="E316" s="190" t="s">
        <v>807</v>
      </c>
      <c r="F316" s="191" t="s">
        <v>808</v>
      </c>
      <c r="G316" s="190" t="s">
        <v>966</v>
      </c>
      <c r="H316" s="190" t="s">
        <v>967</v>
      </c>
      <c r="I316" s="192">
        <v>57477</v>
      </c>
      <c r="J316" s="192"/>
      <c r="K316" s="193" t="s">
        <v>104</v>
      </c>
      <c r="L316" s="194"/>
      <c r="M316" s="194"/>
      <c r="N316" s="194"/>
      <c r="O316" s="197" t="s">
        <v>1025</v>
      </c>
    </row>
    <row r="317" spans="1:15" s="196" customFormat="1" ht="15" customHeight="1" x14ac:dyDescent="0.25">
      <c r="A317" s="188" t="s">
        <v>852</v>
      </c>
      <c r="B317" s="190" t="s">
        <v>853</v>
      </c>
      <c r="C317" s="189" t="s">
        <v>889</v>
      </c>
      <c r="D317" s="190" t="s">
        <v>890</v>
      </c>
      <c r="E317" s="190" t="s">
        <v>813</v>
      </c>
      <c r="F317" s="191" t="s">
        <v>814</v>
      </c>
      <c r="G317" s="190" t="s">
        <v>966</v>
      </c>
      <c r="H317" s="190" t="s">
        <v>967</v>
      </c>
      <c r="I317" s="192">
        <v>123</v>
      </c>
      <c r="J317" s="192"/>
      <c r="K317" s="193" t="s">
        <v>103</v>
      </c>
      <c r="L317" s="194"/>
      <c r="M317" s="194"/>
      <c r="N317" s="194"/>
      <c r="O317" s="195" t="s">
        <v>1025</v>
      </c>
    </row>
    <row r="318" spans="1:15" s="196" customFormat="1" ht="15" customHeight="1" x14ac:dyDescent="0.25">
      <c r="A318" s="188" t="s">
        <v>852</v>
      </c>
      <c r="B318" s="190" t="s">
        <v>853</v>
      </c>
      <c r="C318" s="189" t="s">
        <v>889</v>
      </c>
      <c r="D318" s="190" t="s">
        <v>890</v>
      </c>
      <c r="E318" s="190" t="s">
        <v>815</v>
      </c>
      <c r="F318" s="191" t="s">
        <v>141</v>
      </c>
      <c r="G318" s="190" t="s">
        <v>966</v>
      </c>
      <c r="H318" s="190" t="s">
        <v>967</v>
      </c>
      <c r="I318" s="192">
        <v>65154</v>
      </c>
      <c r="J318" s="192"/>
      <c r="K318" s="193" t="s">
        <v>105</v>
      </c>
      <c r="L318" s="194"/>
      <c r="M318" s="194"/>
      <c r="N318" s="194"/>
      <c r="O318" s="197" t="s">
        <v>1025</v>
      </c>
    </row>
    <row r="319" spans="1:15" ht="15" customHeight="1" x14ac:dyDescent="0.25">
      <c r="A319" s="154" t="s">
        <v>852</v>
      </c>
      <c r="B319" s="69" t="s">
        <v>853</v>
      </c>
      <c r="C319" s="69" t="s">
        <v>889</v>
      </c>
      <c r="D319" s="66" t="s">
        <v>890</v>
      </c>
      <c r="E319" s="66" t="s">
        <v>950</v>
      </c>
      <c r="F319" s="68" t="s">
        <v>951</v>
      </c>
      <c r="G319" s="66" t="s">
        <v>982</v>
      </c>
      <c r="H319" s="66" t="s">
        <v>983</v>
      </c>
      <c r="I319" s="67">
        <v>53303</v>
      </c>
      <c r="J319" s="67"/>
      <c r="K319" s="70" t="s">
        <v>119</v>
      </c>
      <c r="L319" s="160"/>
      <c r="M319" s="160"/>
      <c r="N319" s="160"/>
      <c r="O319" s="161"/>
    </row>
    <row r="320" spans="1:15" ht="15" customHeight="1" x14ac:dyDescent="0.25">
      <c r="A320" s="154" t="s">
        <v>852</v>
      </c>
      <c r="B320" s="69" t="s">
        <v>853</v>
      </c>
      <c r="C320" s="69" t="s">
        <v>889</v>
      </c>
      <c r="D320" s="66" t="s">
        <v>890</v>
      </c>
      <c r="E320" s="66" t="s">
        <v>984</v>
      </c>
      <c r="F320" s="68" t="s">
        <v>985</v>
      </c>
      <c r="G320" s="66" t="s">
        <v>982</v>
      </c>
      <c r="H320" s="66" t="s">
        <v>983</v>
      </c>
      <c r="I320" s="67">
        <v>207</v>
      </c>
      <c r="J320" s="67"/>
      <c r="K320" s="70" t="s">
        <v>119</v>
      </c>
      <c r="L320" s="160"/>
      <c r="M320" s="160"/>
      <c r="N320" s="160"/>
      <c r="O320" s="162"/>
    </row>
    <row r="321" spans="1:15" ht="15" customHeight="1" x14ac:dyDescent="0.25">
      <c r="A321" s="154" t="s">
        <v>852</v>
      </c>
      <c r="B321" s="69" t="s">
        <v>853</v>
      </c>
      <c r="C321" s="69" t="s">
        <v>889</v>
      </c>
      <c r="D321" s="66" t="s">
        <v>890</v>
      </c>
      <c r="E321" s="66" t="s">
        <v>828</v>
      </c>
      <c r="F321" s="68" t="s">
        <v>829</v>
      </c>
      <c r="G321" s="66" t="s">
        <v>982</v>
      </c>
      <c r="H321" s="66" t="s">
        <v>983</v>
      </c>
      <c r="I321" s="67">
        <v>6</v>
      </c>
      <c r="J321" s="67"/>
      <c r="K321" s="70" t="s">
        <v>119</v>
      </c>
      <c r="L321" s="160"/>
      <c r="M321" s="160"/>
      <c r="N321" s="160"/>
      <c r="O321" s="161"/>
    </row>
    <row r="322" spans="1:15" ht="15" customHeight="1" x14ac:dyDescent="0.25">
      <c r="A322" s="154" t="s">
        <v>852</v>
      </c>
      <c r="B322" s="69" t="s">
        <v>853</v>
      </c>
      <c r="C322" s="69" t="s">
        <v>889</v>
      </c>
      <c r="D322" s="66" t="s">
        <v>890</v>
      </c>
      <c r="E322" s="66" t="s">
        <v>879</v>
      </c>
      <c r="F322" s="68" t="s">
        <v>880</v>
      </c>
      <c r="G322" s="66" t="s">
        <v>982</v>
      </c>
      <c r="H322" s="66" t="s">
        <v>983</v>
      </c>
      <c r="I322" s="67">
        <v>8086</v>
      </c>
      <c r="J322" s="67"/>
      <c r="K322" s="70" t="s">
        <v>119</v>
      </c>
      <c r="L322" s="160"/>
      <c r="M322" s="160"/>
      <c r="N322" s="160"/>
      <c r="O322" s="162"/>
    </row>
    <row r="323" spans="1:15" ht="15" customHeight="1" x14ac:dyDescent="0.25">
      <c r="A323" s="154" t="s">
        <v>852</v>
      </c>
      <c r="B323" s="69" t="s">
        <v>853</v>
      </c>
      <c r="C323" s="69" t="s">
        <v>889</v>
      </c>
      <c r="D323" s="66" t="s">
        <v>890</v>
      </c>
      <c r="E323" s="66" t="s">
        <v>980</v>
      </c>
      <c r="F323" s="68" t="s">
        <v>981</v>
      </c>
      <c r="G323" s="66" t="s">
        <v>982</v>
      </c>
      <c r="H323" s="66" t="s">
        <v>983</v>
      </c>
      <c r="I323" s="67">
        <v>-18675</v>
      </c>
      <c r="J323" s="67"/>
      <c r="K323" s="70" t="s">
        <v>119</v>
      </c>
      <c r="L323" s="160"/>
      <c r="M323" s="160"/>
      <c r="N323" s="160"/>
      <c r="O323" s="161"/>
    </row>
    <row r="324" spans="1:15" ht="15" customHeight="1" x14ac:dyDescent="0.25">
      <c r="A324" s="154" t="s">
        <v>852</v>
      </c>
      <c r="B324" s="69" t="s">
        <v>853</v>
      </c>
      <c r="C324" s="69" t="s">
        <v>889</v>
      </c>
      <c r="D324" s="66" t="s">
        <v>890</v>
      </c>
      <c r="E324" s="66" t="s">
        <v>887</v>
      </c>
      <c r="F324" s="68" t="s">
        <v>888</v>
      </c>
      <c r="G324" s="66" t="s">
        <v>982</v>
      </c>
      <c r="H324" s="66" t="s">
        <v>983</v>
      </c>
      <c r="I324" s="67">
        <v>-8086</v>
      </c>
      <c r="J324" s="67"/>
      <c r="K324" s="70" t="s">
        <v>119</v>
      </c>
      <c r="L324" s="160"/>
      <c r="M324" s="160"/>
      <c r="N324" s="160"/>
      <c r="O324" s="162"/>
    </row>
    <row r="325" spans="1:15" ht="15" customHeight="1" x14ac:dyDescent="0.25">
      <c r="A325" s="154" t="s">
        <v>852</v>
      </c>
      <c r="B325" s="69" t="s">
        <v>853</v>
      </c>
      <c r="C325" s="69" t="s">
        <v>889</v>
      </c>
      <c r="D325" s="66" t="s">
        <v>890</v>
      </c>
      <c r="E325" s="66" t="s">
        <v>916</v>
      </c>
      <c r="F325" s="68" t="s">
        <v>917</v>
      </c>
      <c r="G325" s="66" t="s">
        <v>982</v>
      </c>
      <c r="H325" s="66" t="s">
        <v>983</v>
      </c>
      <c r="I325" s="67">
        <v>-34860</v>
      </c>
      <c r="J325" s="67"/>
      <c r="K325" s="70" t="s">
        <v>119</v>
      </c>
      <c r="L325" s="160"/>
      <c r="M325" s="160"/>
      <c r="N325" s="160"/>
      <c r="O325" s="161"/>
    </row>
    <row r="326" spans="1:15" ht="15" customHeight="1" x14ac:dyDescent="0.25">
      <c r="A326" s="154" t="s">
        <v>852</v>
      </c>
      <c r="B326" s="66" t="s">
        <v>853</v>
      </c>
      <c r="C326" s="69" t="s">
        <v>889</v>
      </c>
      <c r="D326" s="66" t="s">
        <v>890</v>
      </c>
      <c r="E326" s="66" t="s">
        <v>940</v>
      </c>
      <c r="F326" s="68" t="s">
        <v>941</v>
      </c>
      <c r="G326" s="66" t="s">
        <v>932</v>
      </c>
      <c r="H326" s="66" t="s">
        <v>986</v>
      </c>
      <c r="I326" s="67">
        <v>-10200</v>
      </c>
      <c r="J326" s="67"/>
      <c r="K326" s="70" t="s">
        <v>111</v>
      </c>
      <c r="L326" s="160"/>
      <c r="M326" s="160"/>
      <c r="N326" s="160"/>
      <c r="O326" s="162"/>
    </row>
    <row r="327" spans="1:15" ht="15" customHeight="1" x14ac:dyDescent="0.25">
      <c r="A327" s="154" t="s">
        <v>852</v>
      </c>
      <c r="B327" s="66" t="s">
        <v>853</v>
      </c>
      <c r="C327" s="69" t="s">
        <v>889</v>
      </c>
      <c r="D327" s="66" t="s">
        <v>890</v>
      </c>
      <c r="E327" s="66" t="s">
        <v>980</v>
      </c>
      <c r="F327" s="68" t="s">
        <v>981</v>
      </c>
      <c r="G327" s="66" t="s">
        <v>932</v>
      </c>
      <c r="H327" s="66" t="s">
        <v>986</v>
      </c>
      <c r="I327" s="67">
        <v>10200</v>
      </c>
      <c r="J327" s="67"/>
      <c r="K327" s="70" t="s">
        <v>111</v>
      </c>
      <c r="L327" s="160"/>
      <c r="M327" s="160"/>
      <c r="N327" s="160"/>
      <c r="O327" s="161"/>
    </row>
    <row r="328" spans="1:15" ht="15" customHeight="1" x14ac:dyDescent="0.25">
      <c r="A328" s="154" t="s">
        <v>852</v>
      </c>
      <c r="B328" s="66" t="s">
        <v>853</v>
      </c>
      <c r="C328" s="69" t="s">
        <v>889</v>
      </c>
      <c r="D328" s="66" t="s">
        <v>890</v>
      </c>
      <c r="E328" s="66" t="s">
        <v>944</v>
      </c>
      <c r="F328" s="68" t="s">
        <v>945</v>
      </c>
      <c r="G328" s="66" t="s">
        <v>924</v>
      </c>
      <c r="H328" s="66" t="s">
        <v>993</v>
      </c>
      <c r="I328" s="67">
        <v>16128</v>
      </c>
      <c r="J328" s="67"/>
      <c r="K328" s="70" t="s">
        <v>113</v>
      </c>
      <c r="L328" s="160"/>
      <c r="M328" s="160"/>
      <c r="N328" s="160"/>
      <c r="O328" s="161" t="s">
        <v>993</v>
      </c>
    </row>
    <row r="329" spans="1:15" ht="15" customHeight="1" x14ac:dyDescent="0.25">
      <c r="A329" s="154" t="s">
        <v>852</v>
      </c>
      <c r="B329" s="66" t="s">
        <v>853</v>
      </c>
      <c r="C329" s="69" t="s">
        <v>889</v>
      </c>
      <c r="D329" s="66" t="s">
        <v>890</v>
      </c>
      <c r="E329" s="66" t="s">
        <v>867</v>
      </c>
      <c r="F329" s="68" t="s">
        <v>868</v>
      </c>
      <c r="G329" s="66" t="s">
        <v>924</v>
      </c>
      <c r="H329" s="66" t="s">
        <v>993</v>
      </c>
      <c r="I329" s="67">
        <v>17685</v>
      </c>
      <c r="J329" s="67"/>
      <c r="K329" s="70" t="s">
        <v>113</v>
      </c>
      <c r="L329" s="160"/>
      <c r="M329" s="160"/>
      <c r="N329" s="160"/>
      <c r="O329" s="162" t="s">
        <v>993</v>
      </c>
    </row>
    <row r="330" spans="1:15" ht="15" customHeight="1" x14ac:dyDescent="0.25">
      <c r="A330" s="154" t="s">
        <v>852</v>
      </c>
      <c r="B330" s="66" t="s">
        <v>853</v>
      </c>
      <c r="C330" s="69" t="s">
        <v>889</v>
      </c>
      <c r="D330" s="66" t="s">
        <v>890</v>
      </c>
      <c r="E330" s="66" t="s">
        <v>879</v>
      </c>
      <c r="F330" s="68" t="s">
        <v>880</v>
      </c>
      <c r="G330" s="66" t="s">
        <v>924</v>
      </c>
      <c r="H330" s="66" t="s">
        <v>993</v>
      </c>
      <c r="I330" s="67">
        <v>5312</v>
      </c>
      <c r="J330" s="67"/>
      <c r="K330" s="70" t="s">
        <v>113</v>
      </c>
      <c r="L330" s="160"/>
      <c r="M330" s="160"/>
      <c r="N330" s="160"/>
      <c r="O330" s="161" t="s">
        <v>993</v>
      </c>
    </row>
    <row r="331" spans="1:15" ht="15" customHeight="1" x14ac:dyDescent="0.25">
      <c r="A331" s="154" t="s">
        <v>852</v>
      </c>
      <c r="B331" s="66" t="s">
        <v>853</v>
      </c>
      <c r="C331" s="69" t="s">
        <v>889</v>
      </c>
      <c r="D331" s="66" t="s">
        <v>890</v>
      </c>
      <c r="E331" s="66" t="s">
        <v>887</v>
      </c>
      <c r="F331" s="68" t="s">
        <v>888</v>
      </c>
      <c r="G331" s="66" t="s">
        <v>924</v>
      </c>
      <c r="H331" s="66" t="s">
        <v>993</v>
      </c>
      <c r="I331" s="67">
        <v>-5312</v>
      </c>
      <c r="J331" s="67"/>
      <c r="K331" s="70" t="s">
        <v>113</v>
      </c>
      <c r="L331" s="160"/>
      <c r="M331" s="160"/>
      <c r="N331" s="160"/>
      <c r="O331" s="162" t="s">
        <v>993</v>
      </c>
    </row>
    <row r="332" spans="1:15" ht="15" customHeight="1" x14ac:dyDescent="0.25">
      <c r="A332" s="154" t="s">
        <v>852</v>
      </c>
      <c r="B332" s="66" t="s">
        <v>853</v>
      </c>
      <c r="C332" s="69" t="s">
        <v>889</v>
      </c>
      <c r="D332" s="66" t="s">
        <v>890</v>
      </c>
      <c r="E332" s="66" t="s">
        <v>916</v>
      </c>
      <c r="F332" s="68" t="s">
        <v>917</v>
      </c>
      <c r="G332" s="66" t="s">
        <v>924</v>
      </c>
      <c r="H332" s="66" t="s">
        <v>993</v>
      </c>
      <c r="I332" s="67">
        <v>-75000</v>
      </c>
      <c r="J332" s="67"/>
      <c r="K332" s="70" t="s">
        <v>113</v>
      </c>
      <c r="L332" s="160"/>
      <c r="M332" s="160"/>
      <c r="N332" s="160"/>
      <c r="O332" s="161" t="s">
        <v>993</v>
      </c>
    </row>
    <row r="333" spans="1:15" ht="15" customHeight="1" x14ac:dyDescent="0.25">
      <c r="A333" s="154" t="s">
        <v>852</v>
      </c>
      <c r="B333" s="61" t="s">
        <v>853</v>
      </c>
      <c r="C333" s="63" t="s">
        <v>889</v>
      </c>
      <c r="D333" s="61" t="s">
        <v>890</v>
      </c>
      <c r="E333" s="61" t="s">
        <v>924</v>
      </c>
      <c r="F333" s="62" t="s">
        <v>925</v>
      </c>
      <c r="G333" s="61" t="s">
        <v>801</v>
      </c>
      <c r="H333" s="61" t="s">
        <v>802</v>
      </c>
      <c r="I333" s="64">
        <v>-6499</v>
      </c>
      <c r="J333" s="67"/>
      <c r="K333" s="65" t="s">
        <v>103</v>
      </c>
      <c r="L333" s="160"/>
      <c r="M333" s="160"/>
      <c r="N333" s="160"/>
      <c r="O333" s="161"/>
    </row>
    <row r="334" spans="1:15" ht="15" customHeight="1" x14ac:dyDescent="0.25">
      <c r="A334" s="154" t="s">
        <v>852</v>
      </c>
      <c r="B334" s="61" t="s">
        <v>853</v>
      </c>
      <c r="C334" s="63" t="s">
        <v>889</v>
      </c>
      <c r="D334" s="61" t="s">
        <v>890</v>
      </c>
      <c r="E334" s="61" t="s">
        <v>893</v>
      </c>
      <c r="F334" s="62" t="s">
        <v>894</v>
      </c>
      <c r="G334" s="61" t="s">
        <v>801</v>
      </c>
      <c r="H334" s="61" t="s">
        <v>802</v>
      </c>
      <c r="I334" s="64">
        <v>1829217</v>
      </c>
      <c r="J334" s="67"/>
      <c r="K334" s="65" t="s">
        <v>103</v>
      </c>
      <c r="L334" s="160"/>
      <c r="M334" s="160"/>
      <c r="N334" s="160"/>
      <c r="O334" s="162"/>
    </row>
    <row r="335" spans="1:15" ht="15" customHeight="1" x14ac:dyDescent="0.25">
      <c r="A335" s="154" t="s">
        <v>852</v>
      </c>
      <c r="B335" s="61" t="s">
        <v>853</v>
      </c>
      <c r="C335" s="63" t="s">
        <v>889</v>
      </c>
      <c r="D335" s="61" t="s">
        <v>890</v>
      </c>
      <c r="E335" s="61" t="s">
        <v>799</v>
      </c>
      <c r="F335" s="62" t="s">
        <v>800</v>
      </c>
      <c r="G335" s="61" t="s">
        <v>801</v>
      </c>
      <c r="H335" s="61" t="s">
        <v>802</v>
      </c>
      <c r="I335" s="64">
        <v>72</v>
      </c>
      <c r="J335" s="67"/>
      <c r="K335" s="65" t="s">
        <v>103</v>
      </c>
      <c r="L335" s="160"/>
      <c r="M335" s="160"/>
      <c r="N335" s="160"/>
      <c r="O335" s="161"/>
    </row>
    <row r="336" spans="1:15" ht="15" customHeight="1" x14ac:dyDescent="0.25">
      <c r="A336" s="154" t="s">
        <v>852</v>
      </c>
      <c r="B336" s="61" t="s">
        <v>853</v>
      </c>
      <c r="C336" s="63" t="s">
        <v>889</v>
      </c>
      <c r="D336" s="61" t="s">
        <v>890</v>
      </c>
      <c r="E336" s="61" t="s">
        <v>998</v>
      </c>
      <c r="F336" s="62" t="s">
        <v>999</v>
      </c>
      <c r="G336" s="61" t="s">
        <v>801</v>
      </c>
      <c r="H336" s="61" t="s">
        <v>802</v>
      </c>
      <c r="I336" s="64">
        <v>27220</v>
      </c>
      <c r="J336" s="67"/>
      <c r="K336" s="65" t="s">
        <v>103</v>
      </c>
      <c r="L336" s="160"/>
      <c r="M336" s="160"/>
      <c r="N336" s="160"/>
      <c r="O336" s="162"/>
    </row>
    <row r="337" spans="1:15" ht="15" customHeight="1" x14ac:dyDescent="0.25">
      <c r="A337" s="154" t="s">
        <v>852</v>
      </c>
      <c r="B337" s="61" t="s">
        <v>853</v>
      </c>
      <c r="C337" s="63" t="s">
        <v>889</v>
      </c>
      <c r="D337" s="61" t="s">
        <v>890</v>
      </c>
      <c r="E337" s="61" t="s">
        <v>896</v>
      </c>
      <c r="F337" s="62" t="s">
        <v>897</v>
      </c>
      <c r="G337" s="61" t="s">
        <v>801</v>
      </c>
      <c r="H337" s="61" t="s">
        <v>802</v>
      </c>
      <c r="I337" s="64">
        <v>373466</v>
      </c>
      <c r="J337" s="67"/>
      <c r="K337" s="65" t="s">
        <v>103</v>
      </c>
      <c r="L337" s="160"/>
      <c r="M337" s="160"/>
      <c r="N337" s="160"/>
      <c r="O337" s="161"/>
    </row>
    <row r="338" spans="1:15" ht="15" customHeight="1" x14ac:dyDescent="0.25">
      <c r="A338" s="154" t="s">
        <v>852</v>
      </c>
      <c r="B338" s="61" t="s">
        <v>853</v>
      </c>
      <c r="C338" s="63" t="s">
        <v>889</v>
      </c>
      <c r="D338" s="61" t="s">
        <v>890</v>
      </c>
      <c r="E338" s="61" t="s">
        <v>968</v>
      </c>
      <c r="F338" s="62" t="s">
        <v>969</v>
      </c>
      <c r="G338" s="61" t="s">
        <v>801</v>
      </c>
      <c r="H338" s="61" t="s">
        <v>802</v>
      </c>
      <c r="I338" s="64">
        <v>31940</v>
      </c>
      <c r="J338" s="67"/>
      <c r="K338" s="65" t="s">
        <v>103</v>
      </c>
      <c r="L338" s="160"/>
      <c r="M338" s="160"/>
      <c r="N338" s="160"/>
      <c r="O338" s="162"/>
    </row>
    <row r="339" spans="1:15" ht="15" customHeight="1" x14ac:dyDescent="0.25">
      <c r="A339" s="154" t="s">
        <v>852</v>
      </c>
      <c r="B339" s="61" t="s">
        <v>853</v>
      </c>
      <c r="C339" s="63" t="s">
        <v>889</v>
      </c>
      <c r="D339" s="61" t="s">
        <v>890</v>
      </c>
      <c r="E339" s="61" t="s">
        <v>902</v>
      </c>
      <c r="F339" s="62" t="s">
        <v>903</v>
      </c>
      <c r="G339" s="61" t="s">
        <v>801</v>
      </c>
      <c r="H339" s="61" t="s">
        <v>802</v>
      </c>
      <c r="I339" s="64">
        <v>11521</v>
      </c>
      <c r="J339" s="67"/>
      <c r="K339" s="65" t="s">
        <v>103</v>
      </c>
      <c r="L339" s="160"/>
      <c r="M339" s="160"/>
      <c r="N339" s="160"/>
      <c r="O339" s="161"/>
    </row>
    <row r="340" spans="1:15" ht="15" customHeight="1" x14ac:dyDescent="0.25">
      <c r="A340" s="154" t="s">
        <v>852</v>
      </c>
      <c r="B340" s="61" t="s">
        <v>853</v>
      </c>
      <c r="C340" s="63" t="s">
        <v>889</v>
      </c>
      <c r="D340" s="61" t="s">
        <v>890</v>
      </c>
      <c r="E340" s="61" t="s">
        <v>936</v>
      </c>
      <c r="F340" s="62" t="s">
        <v>937</v>
      </c>
      <c r="G340" s="61" t="s">
        <v>801</v>
      </c>
      <c r="H340" s="61" t="s">
        <v>802</v>
      </c>
      <c r="I340" s="64">
        <v>16833</v>
      </c>
      <c r="J340" s="67"/>
      <c r="K340" s="65" t="s">
        <v>103</v>
      </c>
      <c r="L340" s="160"/>
      <c r="M340" s="160"/>
      <c r="N340" s="160"/>
      <c r="O340" s="162"/>
    </row>
    <row r="341" spans="1:15" ht="15" customHeight="1" x14ac:dyDescent="0.25">
      <c r="A341" s="154" t="s">
        <v>852</v>
      </c>
      <c r="B341" s="61" t="s">
        <v>853</v>
      </c>
      <c r="C341" s="63" t="s">
        <v>889</v>
      </c>
      <c r="D341" s="61" t="s">
        <v>890</v>
      </c>
      <c r="E341" s="61" t="s">
        <v>906</v>
      </c>
      <c r="F341" s="62" t="s">
        <v>907</v>
      </c>
      <c r="G341" s="61" t="s">
        <v>801</v>
      </c>
      <c r="H341" s="61" t="s">
        <v>802</v>
      </c>
      <c r="I341" s="64">
        <v>984</v>
      </c>
      <c r="J341" s="67"/>
      <c r="K341" s="65" t="s">
        <v>103</v>
      </c>
      <c r="L341" s="160"/>
      <c r="M341" s="160"/>
      <c r="N341" s="160"/>
      <c r="O341" s="161"/>
    </row>
    <row r="342" spans="1:15" ht="15" customHeight="1" x14ac:dyDescent="0.25">
      <c r="A342" s="154" t="s">
        <v>852</v>
      </c>
      <c r="B342" s="61" t="s">
        <v>853</v>
      </c>
      <c r="C342" s="63" t="s">
        <v>889</v>
      </c>
      <c r="D342" s="61" t="s">
        <v>890</v>
      </c>
      <c r="E342" s="61" t="s">
        <v>807</v>
      </c>
      <c r="F342" s="62" t="s">
        <v>808</v>
      </c>
      <c r="G342" s="61" t="s">
        <v>801</v>
      </c>
      <c r="H342" s="61" t="s">
        <v>802</v>
      </c>
      <c r="I342" s="64">
        <v>348727</v>
      </c>
      <c r="J342" s="67"/>
      <c r="K342" s="65" t="s">
        <v>104</v>
      </c>
      <c r="L342" s="160"/>
      <c r="M342" s="160"/>
      <c r="N342" s="160"/>
      <c r="O342" s="162"/>
    </row>
    <row r="343" spans="1:15" ht="15" customHeight="1" x14ac:dyDescent="0.25">
      <c r="A343" s="154" t="s">
        <v>852</v>
      </c>
      <c r="B343" s="61" t="s">
        <v>853</v>
      </c>
      <c r="C343" s="63" t="s">
        <v>889</v>
      </c>
      <c r="D343" s="61" t="s">
        <v>890</v>
      </c>
      <c r="E343" s="61" t="s">
        <v>813</v>
      </c>
      <c r="F343" s="62" t="s">
        <v>814</v>
      </c>
      <c r="G343" s="61" t="s">
        <v>801</v>
      </c>
      <c r="H343" s="61" t="s">
        <v>802</v>
      </c>
      <c r="I343" s="64">
        <v>4000</v>
      </c>
      <c r="J343" s="67"/>
      <c r="K343" s="65" t="s">
        <v>103</v>
      </c>
      <c r="L343" s="160"/>
      <c r="M343" s="160"/>
      <c r="N343" s="160"/>
      <c r="O343" s="161"/>
    </row>
    <row r="344" spans="1:15" ht="15" customHeight="1" x14ac:dyDescent="0.25">
      <c r="A344" s="154" t="s">
        <v>852</v>
      </c>
      <c r="B344" s="61" t="s">
        <v>853</v>
      </c>
      <c r="C344" s="63" t="s">
        <v>889</v>
      </c>
      <c r="D344" s="61" t="s">
        <v>890</v>
      </c>
      <c r="E344" s="61" t="s">
        <v>815</v>
      </c>
      <c r="F344" s="62" t="s">
        <v>141</v>
      </c>
      <c r="G344" s="61" t="s">
        <v>801</v>
      </c>
      <c r="H344" s="61" t="s">
        <v>802</v>
      </c>
      <c r="I344" s="64">
        <v>341971</v>
      </c>
      <c r="J344" s="67"/>
      <c r="K344" s="65" t="s">
        <v>105</v>
      </c>
      <c r="L344" s="160"/>
      <c r="M344" s="160"/>
      <c r="N344" s="160"/>
      <c r="O344" s="162"/>
    </row>
    <row r="345" spans="1:15" ht="15" customHeight="1" x14ac:dyDescent="0.25">
      <c r="A345" s="154" t="s">
        <v>852</v>
      </c>
      <c r="B345" s="61" t="s">
        <v>853</v>
      </c>
      <c r="C345" s="63" t="s">
        <v>889</v>
      </c>
      <c r="D345" s="61" t="s">
        <v>890</v>
      </c>
      <c r="E345" s="61" t="s">
        <v>938</v>
      </c>
      <c r="F345" s="62" t="s">
        <v>939</v>
      </c>
      <c r="G345" s="61" t="s">
        <v>801</v>
      </c>
      <c r="H345" s="61" t="s">
        <v>802</v>
      </c>
      <c r="I345" s="64">
        <v>1234</v>
      </c>
      <c r="J345" s="67"/>
      <c r="K345" s="65" t="s">
        <v>107</v>
      </c>
      <c r="L345" s="160"/>
      <c r="M345" s="160"/>
      <c r="N345" s="160"/>
      <c r="O345" s="161"/>
    </row>
    <row r="346" spans="1:15" ht="15" customHeight="1" x14ac:dyDescent="0.25">
      <c r="A346" s="154" t="s">
        <v>852</v>
      </c>
      <c r="B346" s="61" t="s">
        <v>853</v>
      </c>
      <c r="C346" s="63" t="s">
        <v>889</v>
      </c>
      <c r="D346" s="61" t="s">
        <v>890</v>
      </c>
      <c r="E346" s="61" t="s">
        <v>1014</v>
      </c>
      <c r="F346" s="62" t="s">
        <v>1015</v>
      </c>
      <c r="G346" s="61" t="s">
        <v>801</v>
      </c>
      <c r="H346" s="61" t="s">
        <v>802</v>
      </c>
      <c r="I346" s="64">
        <v>3060</v>
      </c>
      <c r="J346" s="67"/>
      <c r="K346" s="65" t="s">
        <v>107</v>
      </c>
      <c r="L346" s="160"/>
      <c r="M346" s="160"/>
      <c r="N346" s="160"/>
      <c r="O346" s="162"/>
    </row>
    <row r="347" spans="1:15" ht="15" customHeight="1" x14ac:dyDescent="0.25">
      <c r="A347" s="154" t="s">
        <v>852</v>
      </c>
      <c r="B347" s="61" t="s">
        <v>853</v>
      </c>
      <c r="C347" s="63" t="s">
        <v>889</v>
      </c>
      <c r="D347" s="61" t="s">
        <v>890</v>
      </c>
      <c r="E347" s="61" t="s">
        <v>944</v>
      </c>
      <c r="F347" s="62" t="s">
        <v>945</v>
      </c>
      <c r="G347" s="61" t="s">
        <v>801</v>
      </c>
      <c r="H347" s="61" t="s">
        <v>802</v>
      </c>
      <c r="I347" s="64">
        <v>1043</v>
      </c>
      <c r="J347" s="67"/>
      <c r="K347" s="65" t="s">
        <v>107</v>
      </c>
      <c r="L347" s="160"/>
      <c r="M347" s="160"/>
      <c r="N347" s="160"/>
      <c r="O347" s="161"/>
    </row>
    <row r="348" spans="1:15" ht="15" customHeight="1" x14ac:dyDescent="0.25">
      <c r="A348" s="154" t="s">
        <v>852</v>
      </c>
      <c r="B348" s="61" t="s">
        <v>853</v>
      </c>
      <c r="C348" s="63" t="s">
        <v>889</v>
      </c>
      <c r="D348" s="61" t="s">
        <v>890</v>
      </c>
      <c r="E348" s="61" t="s">
        <v>1002</v>
      </c>
      <c r="F348" s="62" t="s">
        <v>1003</v>
      </c>
      <c r="G348" s="61" t="s">
        <v>801</v>
      </c>
      <c r="H348" s="61" t="s">
        <v>802</v>
      </c>
      <c r="I348" s="64">
        <v>502</v>
      </c>
      <c r="J348" s="67"/>
      <c r="K348" s="65" t="s">
        <v>107</v>
      </c>
      <c r="L348" s="160"/>
      <c r="M348" s="160"/>
      <c r="N348" s="160"/>
      <c r="O348" s="162"/>
    </row>
    <row r="349" spans="1:15" ht="15" customHeight="1" x14ac:dyDescent="0.25">
      <c r="A349" s="154" t="s">
        <v>852</v>
      </c>
      <c r="B349" s="61" t="s">
        <v>853</v>
      </c>
      <c r="C349" s="63" t="s">
        <v>889</v>
      </c>
      <c r="D349" s="61" t="s">
        <v>890</v>
      </c>
      <c r="E349" s="61" t="s">
        <v>984</v>
      </c>
      <c r="F349" s="62" t="s">
        <v>985</v>
      </c>
      <c r="G349" s="61" t="s">
        <v>801</v>
      </c>
      <c r="H349" s="61" t="s">
        <v>802</v>
      </c>
      <c r="I349" s="64">
        <v>16200</v>
      </c>
      <c r="J349" s="67"/>
      <c r="K349" s="65" t="s">
        <v>107</v>
      </c>
      <c r="L349" s="160"/>
      <c r="M349" s="160"/>
      <c r="N349" s="160"/>
      <c r="O349" s="161"/>
    </row>
    <row r="350" spans="1:15" ht="15" customHeight="1" x14ac:dyDescent="0.25">
      <c r="A350" s="154" t="s">
        <v>852</v>
      </c>
      <c r="B350" s="61" t="s">
        <v>853</v>
      </c>
      <c r="C350" s="63" t="s">
        <v>889</v>
      </c>
      <c r="D350" s="61" t="s">
        <v>890</v>
      </c>
      <c r="E350" s="61" t="s">
        <v>824</v>
      </c>
      <c r="F350" s="62" t="s">
        <v>825</v>
      </c>
      <c r="G350" s="61" t="s">
        <v>801</v>
      </c>
      <c r="H350" s="61" t="s">
        <v>802</v>
      </c>
      <c r="I350" s="64">
        <v>7185</v>
      </c>
      <c r="J350" s="67"/>
      <c r="K350" s="65" t="s">
        <v>107</v>
      </c>
      <c r="L350" s="160"/>
      <c r="M350" s="160"/>
      <c r="N350" s="160"/>
      <c r="O350" s="162"/>
    </row>
    <row r="351" spans="1:15" ht="15" customHeight="1" x14ac:dyDescent="0.25">
      <c r="A351" s="154" t="s">
        <v>852</v>
      </c>
      <c r="B351" s="61" t="s">
        <v>853</v>
      </c>
      <c r="C351" s="63" t="s">
        <v>889</v>
      </c>
      <c r="D351" s="61" t="s">
        <v>890</v>
      </c>
      <c r="E351" s="61" t="s">
        <v>826</v>
      </c>
      <c r="F351" s="62" t="s">
        <v>827</v>
      </c>
      <c r="G351" s="61" t="s">
        <v>801</v>
      </c>
      <c r="H351" s="61" t="s">
        <v>802</v>
      </c>
      <c r="I351" s="67">
        <v>3111</v>
      </c>
      <c r="J351" s="67"/>
      <c r="K351" s="65" t="s">
        <v>107</v>
      </c>
      <c r="L351" s="160"/>
      <c r="M351" s="160"/>
      <c r="N351" s="160"/>
      <c r="O351" s="161"/>
    </row>
    <row r="352" spans="1:15" ht="15" customHeight="1" x14ac:dyDescent="0.25">
      <c r="A352" s="154" t="s">
        <v>852</v>
      </c>
      <c r="B352" s="61" t="s">
        <v>853</v>
      </c>
      <c r="C352" s="63" t="s">
        <v>889</v>
      </c>
      <c r="D352" s="61" t="s">
        <v>890</v>
      </c>
      <c r="E352" s="61" t="s">
        <v>828</v>
      </c>
      <c r="F352" s="62" t="s">
        <v>829</v>
      </c>
      <c r="G352" s="61" t="s">
        <v>801</v>
      </c>
      <c r="H352" s="61" t="s">
        <v>802</v>
      </c>
      <c r="I352" s="64">
        <v>7308</v>
      </c>
      <c r="J352" s="67"/>
      <c r="K352" s="65" t="s">
        <v>107</v>
      </c>
      <c r="L352" s="160"/>
      <c r="M352" s="160"/>
      <c r="N352" s="160"/>
      <c r="O352" s="162"/>
    </row>
    <row r="353" spans="1:15" ht="15" customHeight="1" x14ac:dyDescent="0.25">
      <c r="A353" s="154" t="s">
        <v>852</v>
      </c>
      <c r="B353" s="61" t="s">
        <v>853</v>
      </c>
      <c r="C353" s="63" t="s">
        <v>889</v>
      </c>
      <c r="D353" s="61" t="s">
        <v>890</v>
      </c>
      <c r="E353" s="61" t="s">
        <v>830</v>
      </c>
      <c r="F353" s="62" t="s">
        <v>831</v>
      </c>
      <c r="G353" s="61" t="s">
        <v>801</v>
      </c>
      <c r="H353" s="61" t="s">
        <v>802</v>
      </c>
      <c r="I353" s="64">
        <v>2418</v>
      </c>
      <c r="J353" s="67"/>
      <c r="K353" s="65" t="s">
        <v>107</v>
      </c>
      <c r="L353" s="160"/>
      <c r="M353" s="160"/>
      <c r="N353" s="160"/>
      <c r="O353" s="161"/>
    </row>
    <row r="354" spans="1:15" ht="15" customHeight="1" x14ac:dyDescent="0.25">
      <c r="A354" s="154" t="s">
        <v>852</v>
      </c>
      <c r="B354" s="61" t="s">
        <v>853</v>
      </c>
      <c r="C354" s="63" t="s">
        <v>889</v>
      </c>
      <c r="D354" s="61" t="s">
        <v>890</v>
      </c>
      <c r="E354" s="61" t="s">
        <v>836</v>
      </c>
      <c r="F354" s="62" t="s">
        <v>837</v>
      </c>
      <c r="G354" s="61" t="s">
        <v>801</v>
      </c>
      <c r="H354" s="61" t="s">
        <v>802</v>
      </c>
      <c r="I354" s="64">
        <v>4140</v>
      </c>
      <c r="J354" s="67"/>
      <c r="K354" s="65" t="s">
        <v>107</v>
      </c>
      <c r="L354" s="160"/>
      <c r="M354" s="160"/>
      <c r="N354" s="160"/>
      <c r="O354" s="162"/>
    </row>
    <row r="355" spans="1:15" ht="15" customHeight="1" x14ac:dyDescent="0.25">
      <c r="A355" s="154" t="s">
        <v>852</v>
      </c>
      <c r="B355" s="61" t="s">
        <v>853</v>
      </c>
      <c r="C355" s="63" t="s">
        <v>889</v>
      </c>
      <c r="D355" s="61" t="s">
        <v>890</v>
      </c>
      <c r="E355" s="61" t="s">
        <v>912</v>
      </c>
      <c r="F355" s="62" t="s">
        <v>913</v>
      </c>
      <c r="G355" s="61" t="s">
        <v>801</v>
      </c>
      <c r="H355" s="61" t="s">
        <v>802</v>
      </c>
      <c r="I355" s="64">
        <v>2575</v>
      </c>
      <c r="J355" s="67"/>
      <c r="K355" s="65" t="s">
        <v>107</v>
      </c>
      <c r="L355" s="160"/>
      <c r="M355" s="160"/>
      <c r="N355" s="160"/>
      <c r="O355" s="161"/>
    </row>
    <row r="356" spans="1:15" ht="15" customHeight="1" x14ac:dyDescent="0.25">
      <c r="A356" s="154" t="s">
        <v>852</v>
      </c>
      <c r="B356" s="61" t="s">
        <v>853</v>
      </c>
      <c r="C356" s="63" t="s">
        <v>889</v>
      </c>
      <c r="D356" s="61" t="s">
        <v>890</v>
      </c>
      <c r="E356" s="61" t="s">
        <v>914</v>
      </c>
      <c r="F356" s="62" t="s">
        <v>915</v>
      </c>
      <c r="G356" s="61" t="s">
        <v>801</v>
      </c>
      <c r="H356" s="61" t="s">
        <v>802</v>
      </c>
      <c r="I356" s="64">
        <v>4273</v>
      </c>
      <c r="J356" s="67"/>
      <c r="K356" s="65" t="s">
        <v>107</v>
      </c>
      <c r="L356" s="160"/>
      <c r="M356" s="160"/>
      <c r="N356" s="160"/>
      <c r="O356" s="162"/>
    </row>
    <row r="357" spans="1:15" ht="15" customHeight="1" x14ac:dyDescent="0.25">
      <c r="A357" s="154" t="s">
        <v>852</v>
      </c>
      <c r="B357" s="61" t="s">
        <v>853</v>
      </c>
      <c r="C357" s="63" t="s">
        <v>889</v>
      </c>
      <c r="D357" s="61" t="s">
        <v>890</v>
      </c>
      <c r="E357" s="61" t="s">
        <v>861</v>
      </c>
      <c r="F357" s="62" t="s">
        <v>862</v>
      </c>
      <c r="G357" s="61" t="s">
        <v>801</v>
      </c>
      <c r="H357" s="61" t="s">
        <v>802</v>
      </c>
      <c r="I357" s="64">
        <v>878</v>
      </c>
      <c r="J357" s="67"/>
      <c r="K357" s="65" t="s">
        <v>107</v>
      </c>
      <c r="L357" s="160"/>
      <c r="M357" s="160"/>
      <c r="N357" s="160"/>
      <c r="O357" s="161"/>
    </row>
    <row r="358" spans="1:15" ht="15" customHeight="1" x14ac:dyDescent="0.25">
      <c r="A358" s="154" t="s">
        <v>852</v>
      </c>
      <c r="B358" s="61" t="s">
        <v>853</v>
      </c>
      <c r="C358" s="63" t="s">
        <v>889</v>
      </c>
      <c r="D358" s="61" t="s">
        <v>890</v>
      </c>
      <c r="E358" s="61" t="s">
        <v>946</v>
      </c>
      <c r="F358" s="62" t="s">
        <v>947</v>
      </c>
      <c r="G358" s="61" t="s">
        <v>801</v>
      </c>
      <c r="H358" s="61" t="s">
        <v>802</v>
      </c>
      <c r="I358" s="64">
        <v>1216</v>
      </c>
      <c r="J358" s="67"/>
      <c r="K358" s="65" t="s">
        <v>107</v>
      </c>
      <c r="L358" s="160"/>
      <c r="M358" s="160"/>
      <c r="N358" s="160"/>
      <c r="O358" s="162"/>
    </row>
    <row r="359" spans="1:15" ht="15" customHeight="1" x14ac:dyDescent="0.25">
      <c r="A359" s="154" t="s">
        <v>852</v>
      </c>
      <c r="B359" s="61" t="s">
        <v>853</v>
      </c>
      <c r="C359" s="63" t="s">
        <v>889</v>
      </c>
      <c r="D359" s="61" t="s">
        <v>890</v>
      </c>
      <c r="E359" s="61" t="s">
        <v>1017</v>
      </c>
      <c r="F359" s="62" t="s">
        <v>1018</v>
      </c>
      <c r="G359" s="61" t="s">
        <v>801</v>
      </c>
      <c r="H359" s="61" t="s">
        <v>802</v>
      </c>
      <c r="I359" s="64">
        <v>775</v>
      </c>
      <c r="J359" s="67"/>
      <c r="K359" s="65" t="s">
        <v>107</v>
      </c>
      <c r="L359" s="160"/>
      <c r="M359" s="160"/>
      <c r="N359" s="160"/>
      <c r="O359" s="161"/>
    </row>
    <row r="360" spans="1:15" ht="15" customHeight="1" x14ac:dyDescent="0.25">
      <c r="A360" s="154" t="s">
        <v>852</v>
      </c>
      <c r="B360" s="61" t="s">
        <v>853</v>
      </c>
      <c r="C360" s="63" t="s">
        <v>889</v>
      </c>
      <c r="D360" s="61" t="s">
        <v>890</v>
      </c>
      <c r="E360" s="61" t="s">
        <v>873</v>
      </c>
      <c r="F360" s="62" t="s">
        <v>874</v>
      </c>
      <c r="G360" s="61" t="s">
        <v>801</v>
      </c>
      <c r="H360" s="61" t="s">
        <v>802</v>
      </c>
      <c r="I360" s="64">
        <v>774</v>
      </c>
      <c r="J360" s="67"/>
      <c r="K360" s="65" t="s">
        <v>107</v>
      </c>
      <c r="L360" s="160"/>
      <c r="M360" s="160"/>
      <c r="N360" s="160"/>
      <c r="O360" s="162"/>
    </row>
    <row r="361" spans="1:15" ht="15" customHeight="1" x14ac:dyDescent="0.25">
      <c r="A361" s="154" t="s">
        <v>852</v>
      </c>
      <c r="B361" s="61" t="s">
        <v>853</v>
      </c>
      <c r="C361" s="63" t="s">
        <v>889</v>
      </c>
      <c r="D361" s="61" t="s">
        <v>890</v>
      </c>
      <c r="E361" s="61" t="s">
        <v>879</v>
      </c>
      <c r="F361" s="62" t="s">
        <v>880</v>
      </c>
      <c r="G361" s="61" t="s">
        <v>801</v>
      </c>
      <c r="H361" s="61" t="s">
        <v>802</v>
      </c>
      <c r="I361" s="64">
        <v>14677</v>
      </c>
      <c r="J361" s="67"/>
      <c r="K361" s="65" t="s">
        <v>108</v>
      </c>
      <c r="L361" s="160"/>
      <c r="M361" s="160"/>
      <c r="N361" s="160"/>
      <c r="O361" s="161"/>
    </row>
    <row r="362" spans="1:15" ht="15" customHeight="1" x14ac:dyDescent="0.25">
      <c r="A362" s="154" t="s">
        <v>852</v>
      </c>
      <c r="B362" s="61" t="s">
        <v>853</v>
      </c>
      <c r="C362" s="63" t="s">
        <v>889</v>
      </c>
      <c r="D362" s="61" t="s">
        <v>890</v>
      </c>
      <c r="E362" s="61" t="s">
        <v>980</v>
      </c>
      <c r="F362" s="62" t="s">
        <v>981</v>
      </c>
      <c r="G362" s="61" t="s">
        <v>801</v>
      </c>
      <c r="H362" s="61" t="s">
        <v>802</v>
      </c>
      <c r="I362" s="64">
        <v>-157500</v>
      </c>
      <c r="J362" s="67"/>
      <c r="K362" s="65" t="s">
        <v>111</v>
      </c>
      <c r="L362" s="160"/>
      <c r="M362" s="160"/>
      <c r="N362" s="160"/>
      <c r="O362" s="162"/>
    </row>
    <row r="363" spans="1:15" ht="15" customHeight="1" x14ac:dyDescent="0.25">
      <c r="A363" s="154" t="s">
        <v>852</v>
      </c>
      <c r="B363" s="61" t="s">
        <v>853</v>
      </c>
      <c r="C363" s="63" t="s">
        <v>889</v>
      </c>
      <c r="D363" s="61" t="s">
        <v>890</v>
      </c>
      <c r="E363" s="61" t="s">
        <v>885</v>
      </c>
      <c r="F363" s="62" t="s">
        <v>886</v>
      </c>
      <c r="G363" s="61" t="s">
        <v>801</v>
      </c>
      <c r="H363" s="61" t="s">
        <v>802</v>
      </c>
      <c r="I363" s="64">
        <v>-161233</v>
      </c>
      <c r="J363" s="67"/>
      <c r="K363" s="65" t="s">
        <v>109</v>
      </c>
      <c r="L363" s="160"/>
      <c r="M363" s="160"/>
      <c r="N363" s="160"/>
      <c r="O363" s="161"/>
    </row>
    <row r="364" spans="1:15" ht="15" customHeight="1" x14ac:dyDescent="0.25">
      <c r="A364" s="154" t="s">
        <v>852</v>
      </c>
      <c r="B364" s="61" t="s">
        <v>853</v>
      </c>
      <c r="C364" s="63" t="s">
        <v>889</v>
      </c>
      <c r="D364" s="61" t="s">
        <v>890</v>
      </c>
      <c r="E364" s="61" t="s">
        <v>887</v>
      </c>
      <c r="F364" s="62" t="s">
        <v>888</v>
      </c>
      <c r="G364" s="61" t="s">
        <v>801</v>
      </c>
      <c r="H364" s="61" t="s">
        <v>802</v>
      </c>
      <c r="I364" s="64">
        <v>-14677</v>
      </c>
      <c r="J364" s="67"/>
      <c r="K364" s="65" t="s">
        <v>110</v>
      </c>
      <c r="L364" s="160"/>
      <c r="M364" s="160"/>
      <c r="N364" s="160"/>
      <c r="O364" s="162"/>
    </row>
    <row r="365" spans="1:15" ht="15" customHeight="1" x14ac:dyDescent="0.25">
      <c r="A365" s="154" t="s">
        <v>854</v>
      </c>
      <c r="B365" s="69" t="s">
        <v>855</v>
      </c>
      <c r="C365" s="69" t="s">
        <v>889</v>
      </c>
      <c r="D365" s="66" t="s">
        <v>890</v>
      </c>
      <c r="E365" s="66" t="s">
        <v>936</v>
      </c>
      <c r="F365" s="68" t="s">
        <v>937</v>
      </c>
      <c r="G365" s="66" t="s">
        <v>952</v>
      </c>
      <c r="H365" s="66" t="s">
        <v>953</v>
      </c>
      <c r="I365" s="67">
        <v>4081</v>
      </c>
      <c r="J365" s="67"/>
      <c r="K365" s="70" t="s">
        <v>113</v>
      </c>
      <c r="L365" s="160"/>
      <c r="M365" s="160"/>
      <c r="N365" s="160"/>
      <c r="O365" s="161" t="s">
        <v>953</v>
      </c>
    </row>
    <row r="366" spans="1:15" ht="15" customHeight="1" x14ac:dyDescent="0.25">
      <c r="A366" s="154" t="s">
        <v>854</v>
      </c>
      <c r="B366" s="69" t="s">
        <v>855</v>
      </c>
      <c r="C366" s="69" t="s">
        <v>889</v>
      </c>
      <c r="D366" s="66" t="s">
        <v>890</v>
      </c>
      <c r="E366" s="66" t="s">
        <v>815</v>
      </c>
      <c r="F366" s="68" t="s">
        <v>141</v>
      </c>
      <c r="G366" s="66" t="s">
        <v>952</v>
      </c>
      <c r="H366" s="66" t="s">
        <v>953</v>
      </c>
      <c r="I366" s="67">
        <v>575</v>
      </c>
      <c r="J366" s="67"/>
      <c r="K366" s="70" t="s">
        <v>113</v>
      </c>
      <c r="L366" s="160"/>
      <c r="M366" s="160"/>
      <c r="N366" s="160"/>
      <c r="O366" s="162" t="s">
        <v>953</v>
      </c>
    </row>
    <row r="367" spans="1:15" ht="15" customHeight="1" x14ac:dyDescent="0.25">
      <c r="A367" s="154" t="s">
        <v>854</v>
      </c>
      <c r="B367" s="66" t="s">
        <v>855</v>
      </c>
      <c r="C367" s="69" t="s">
        <v>889</v>
      </c>
      <c r="D367" s="66" t="s">
        <v>890</v>
      </c>
      <c r="E367" s="66" t="s">
        <v>940</v>
      </c>
      <c r="F367" s="68" t="s">
        <v>941</v>
      </c>
      <c r="G367" s="66" t="s">
        <v>978</v>
      </c>
      <c r="H367" s="66" t="s">
        <v>979</v>
      </c>
      <c r="I367" s="67">
        <v>-3110</v>
      </c>
      <c r="J367" s="67"/>
      <c r="K367" s="70" t="s">
        <v>111</v>
      </c>
      <c r="L367" s="160"/>
      <c r="M367" s="160"/>
      <c r="N367" s="160"/>
      <c r="O367" s="161"/>
    </row>
    <row r="368" spans="1:15" ht="15" customHeight="1" x14ac:dyDescent="0.25">
      <c r="A368" s="154" t="s">
        <v>854</v>
      </c>
      <c r="B368" s="69" t="s">
        <v>855</v>
      </c>
      <c r="C368" s="69" t="s">
        <v>889</v>
      </c>
      <c r="D368" s="66" t="s">
        <v>890</v>
      </c>
      <c r="E368" s="66" t="s">
        <v>980</v>
      </c>
      <c r="F368" s="68" t="s">
        <v>981</v>
      </c>
      <c r="G368" s="66" t="s">
        <v>978</v>
      </c>
      <c r="H368" s="66" t="s">
        <v>979</v>
      </c>
      <c r="I368" s="67">
        <v>3110</v>
      </c>
      <c r="J368" s="67"/>
      <c r="K368" s="70" t="s">
        <v>111</v>
      </c>
      <c r="L368" s="160"/>
      <c r="M368" s="160"/>
      <c r="N368" s="160"/>
      <c r="O368" s="161"/>
    </row>
    <row r="369" spans="1:15" ht="15" customHeight="1" x14ac:dyDescent="0.25">
      <c r="A369" s="154" t="s">
        <v>854</v>
      </c>
      <c r="B369" s="69" t="s">
        <v>855</v>
      </c>
      <c r="C369" s="69" t="s">
        <v>889</v>
      </c>
      <c r="D369" s="66" t="s">
        <v>890</v>
      </c>
      <c r="E369" s="66" t="s">
        <v>950</v>
      </c>
      <c r="F369" s="68" t="s">
        <v>951</v>
      </c>
      <c r="G369" s="66" t="s">
        <v>982</v>
      </c>
      <c r="H369" s="66" t="s">
        <v>983</v>
      </c>
      <c r="I369" s="67">
        <v>29787</v>
      </c>
      <c r="J369" s="67"/>
      <c r="K369" s="70" t="s">
        <v>119</v>
      </c>
      <c r="L369" s="160"/>
      <c r="M369" s="160"/>
      <c r="N369" s="160"/>
      <c r="O369" s="162"/>
    </row>
    <row r="370" spans="1:15" ht="15" customHeight="1" x14ac:dyDescent="0.25">
      <c r="A370" s="154" t="s">
        <v>854</v>
      </c>
      <c r="B370" s="69" t="s">
        <v>855</v>
      </c>
      <c r="C370" s="69" t="s">
        <v>889</v>
      </c>
      <c r="D370" s="66" t="s">
        <v>890</v>
      </c>
      <c r="E370" s="66" t="s">
        <v>879</v>
      </c>
      <c r="F370" s="68" t="s">
        <v>880</v>
      </c>
      <c r="G370" s="66" t="s">
        <v>982</v>
      </c>
      <c r="H370" s="66" t="s">
        <v>983</v>
      </c>
      <c r="I370" s="67">
        <v>4276</v>
      </c>
      <c r="J370" s="67"/>
      <c r="K370" s="70" t="s">
        <v>119</v>
      </c>
      <c r="L370" s="160"/>
      <c r="M370" s="160"/>
      <c r="N370" s="160"/>
      <c r="O370" s="161"/>
    </row>
    <row r="371" spans="1:15" ht="15" customHeight="1" x14ac:dyDescent="0.25">
      <c r="A371" s="154" t="s">
        <v>854</v>
      </c>
      <c r="B371" s="69" t="s">
        <v>855</v>
      </c>
      <c r="C371" s="69" t="s">
        <v>889</v>
      </c>
      <c r="D371" s="66" t="s">
        <v>890</v>
      </c>
      <c r="E371" s="66" t="s">
        <v>980</v>
      </c>
      <c r="F371" s="68" t="s">
        <v>981</v>
      </c>
      <c r="G371" s="66" t="s">
        <v>982</v>
      </c>
      <c r="H371" s="66" t="s">
        <v>983</v>
      </c>
      <c r="I371" s="67">
        <v>-30938</v>
      </c>
      <c r="J371" s="67"/>
      <c r="K371" s="70" t="s">
        <v>119</v>
      </c>
      <c r="L371" s="160"/>
      <c r="M371" s="160"/>
      <c r="N371" s="160"/>
      <c r="O371" s="162"/>
    </row>
    <row r="372" spans="1:15" ht="15" customHeight="1" x14ac:dyDescent="0.25">
      <c r="A372" s="154" t="s">
        <v>854</v>
      </c>
      <c r="B372" s="69" t="s">
        <v>855</v>
      </c>
      <c r="C372" s="69" t="s">
        <v>889</v>
      </c>
      <c r="D372" s="66" t="s">
        <v>890</v>
      </c>
      <c r="E372" s="66" t="s">
        <v>887</v>
      </c>
      <c r="F372" s="68" t="s">
        <v>888</v>
      </c>
      <c r="G372" s="66" t="s">
        <v>982</v>
      </c>
      <c r="H372" s="66" t="s">
        <v>983</v>
      </c>
      <c r="I372" s="67">
        <v>-4276</v>
      </c>
      <c r="J372" s="67"/>
      <c r="K372" s="70" t="s">
        <v>119</v>
      </c>
      <c r="L372" s="160"/>
      <c r="M372" s="160"/>
      <c r="N372" s="160"/>
      <c r="O372" s="161"/>
    </row>
    <row r="373" spans="1:15" ht="15" customHeight="1" x14ac:dyDescent="0.25">
      <c r="A373" s="154" t="s">
        <v>854</v>
      </c>
      <c r="B373" s="66" t="s">
        <v>855</v>
      </c>
      <c r="C373" s="69" t="s">
        <v>889</v>
      </c>
      <c r="D373" s="66" t="s">
        <v>890</v>
      </c>
      <c r="E373" s="66" t="s">
        <v>940</v>
      </c>
      <c r="F373" s="68" t="s">
        <v>941</v>
      </c>
      <c r="G373" s="66" t="s">
        <v>932</v>
      </c>
      <c r="H373" s="66" t="s">
        <v>986</v>
      </c>
      <c r="I373" s="67">
        <v>-1050</v>
      </c>
      <c r="J373" s="67"/>
      <c r="K373" s="70" t="s">
        <v>111</v>
      </c>
      <c r="L373" s="160"/>
      <c r="M373" s="160"/>
      <c r="N373" s="160"/>
      <c r="O373" s="162"/>
    </row>
    <row r="374" spans="1:15" ht="15" customHeight="1" x14ac:dyDescent="0.25">
      <c r="A374" s="154" t="s">
        <v>854</v>
      </c>
      <c r="B374" s="66" t="s">
        <v>855</v>
      </c>
      <c r="C374" s="69" t="s">
        <v>889</v>
      </c>
      <c r="D374" s="66" t="s">
        <v>890</v>
      </c>
      <c r="E374" s="66" t="s">
        <v>980</v>
      </c>
      <c r="F374" s="68" t="s">
        <v>981</v>
      </c>
      <c r="G374" s="66" t="s">
        <v>932</v>
      </c>
      <c r="H374" s="66" t="s">
        <v>986</v>
      </c>
      <c r="I374" s="67">
        <v>1050</v>
      </c>
      <c r="J374" s="67"/>
      <c r="K374" s="70" t="s">
        <v>111</v>
      </c>
      <c r="L374" s="160"/>
      <c r="M374" s="160"/>
      <c r="N374" s="160"/>
      <c r="O374" s="161"/>
    </row>
    <row r="375" spans="1:15" ht="15" customHeight="1" x14ac:dyDescent="0.25">
      <c r="A375" s="154" t="s">
        <v>854</v>
      </c>
      <c r="B375" s="61" t="s">
        <v>855</v>
      </c>
      <c r="C375" s="63" t="s">
        <v>889</v>
      </c>
      <c r="D375" s="61" t="s">
        <v>890</v>
      </c>
      <c r="E375" s="61" t="s">
        <v>924</v>
      </c>
      <c r="F375" s="62" t="s">
        <v>925</v>
      </c>
      <c r="G375" s="61" t="s">
        <v>801</v>
      </c>
      <c r="H375" s="61" t="s">
        <v>802</v>
      </c>
      <c r="I375" s="64">
        <v>10949</v>
      </c>
      <c r="J375" s="67"/>
      <c r="K375" s="65" t="s">
        <v>103</v>
      </c>
      <c r="L375" s="160"/>
      <c r="M375" s="160"/>
      <c r="N375" s="160"/>
      <c r="O375" s="161"/>
    </row>
    <row r="376" spans="1:15" ht="15" customHeight="1" x14ac:dyDescent="0.25">
      <c r="A376" s="154" t="s">
        <v>854</v>
      </c>
      <c r="B376" s="61" t="s">
        <v>855</v>
      </c>
      <c r="C376" s="63" t="s">
        <v>889</v>
      </c>
      <c r="D376" s="61" t="s">
        <v>890</v>
      </c>
      <c r="E376" s="61" t="s">
        <v>893</v>
      </c>
      <c r="F376" s="62" t="s">
        <v>894</v>
      </c>
      <c r="G376" s="61" t="s">
        <v>801</v>
      </c>
      <c r="H376" s="61" t="s">
        <v>802</v>
      </c>
      <c r="I376" s="64">
        <v>1303664</v>
      </c>
      <c r="J376" s="67"/>
      <c r="K376" s="65" t="s">
        <v>103</v>
      </c>
      <c r="L376" s="160"/>
      <c r="M376" s="160"/>
      <c r="N376" s="160"/>
      <c r="O376" s="162"/>
    </row>
    <row r="377" spans="1:15" ht="15" customHeight="1" x14ac:dyDescent="0.25">
      <c r="A377" s="154" t="s">
        <v>854</v>
      </c>
      <c r="B377" s="61" t="s">
        <v>855</v>
      </c>
      <c r="C377" s="63" t="s">
        <v>889</v>
      </c>
      <c r="D377" s="61" t="s">
        <v>890</v>
      </c>
      <c r="E377" s="61" t="s">
        <v>896</v>
      </c>
      <c r="F377" s="62" t="s">
        <v>897</v>
      </c>
      <c r="G377" s="61" t="s">
        <v>801</v>
      </c>
      <c r="H377" s="61" t="s">
        <v>802</v>
      </c>
      <c r="I377" s="64">
        <v>6156</v>
      </c>
      <c r="J377" s="67"/>
      <c r="K377" s="65" t="s">
        <v>103</v>
      </c>
      <c r="L377" s="160"/>
      <c r="M377" s="160"/>
      <c r="N377" s="160"/>
      <c r="O377" s="161"/>
    </row>
    <row r="378" spans="1:15" ht="15" customHeight="1" x14ac:dyDescent="0.25">
      <c r="A378" s="154" t="s">
        <v>854</v>
      </c>
      <c r="B378" s="61" t="s">
        <v>855</v>
      </c>
      <c r="C378" s="63" t="s">
        <v>889</v>
      </c>
      <c r="D378" s="61" t="s">
        <v>890</v>
      </c>
      <c r="E378" s="61" t="s">
        <v>968</v>
      </c>
      <c r="F378" s="62" t="s">
        <v>969</v>
      </c>
      <c r="G378" s="61" t="s">
        <v>801</v>
      </c>
      <c r="H378" s="61" t="s">
        <v>802</v>
      </c>
      <c r="I378" s="64">
        <v>10863</v>
      </c>
      <c r="J378" s="67"/>
      <c r="K378" s="65" t="s">
        <v>103</v>
      </c>
      <c r="L378" s="160"/>
      <c r="M378" s="160"/>
      <c r="N378" s="160"/>
      <c r="O378" s="162"/>
    </row>
    <row r="379" spans="1:15" ht="15" customHeight="1" x14ac:dyDescent="0.25">
      <c r="A379" s="154" t="s">
        <v>854</v>
      </c>
      <c r="B379" s="61" t="s">
        <v>855</v>
      </c>
      <c r="C379" s="63" t="s">
        <v>889</v>
      </c>
      <c r="D379" s="61" t="s">
        <v>890</v>
      </c>
      <c r="E379" s="61" t="s">
        <v>898</v>
      </c>
      <c r="F379" s="62" t="s">
        <v>899</v>
      </c>
      <c r="G379" s="61" t="s">
        <v>801</v>
      </c>
      <c r="H379" s="61" t="s">
        <v>802</v>
      </c>
      <c r="I379" s="64">
        <v>2173</v>
      </c>
      <c r="J379" s="67"/>
      <c r="K379" s="65" t="s">
        <v>103</v>
      </c>
      <c r="L379" s="160"/>
      <c r="M379" s="160"/>
      <c r="N379" s="160"/>
      <c r="O379" s="161"/>
    </row>
    <row r="380" spans="1:15" ht="15" customHeight="1" x14ac:dyDescent="0.25">
      <c r="A380" s="154" t="s">
        <v>854</v>
      </c>
      <c r="B380" s="61" t="s">
        <v>855</v>
      </c>
      <c r="C380" s="63" t="s">
        <v>889</v>
      </c>
      <c r="D380" s="61" t="s">
        <v>890</v>
      </c>
      <c r="E380" s="61" t="s">
        <v>936</v>
      </c>
      <c r="F380" s="62" t="s">
        <v>937</v>
      </c>
      <c r="G380" s="61" t="s">
        <v>801</v>
      </c>
      <c r="H380" s="61" t="s">
        <v>802</v>
      </c>
      <c r="I380" s="64">
        <v>5502</v>
      </c>
      <c r="J380" s="67"/>
      <c r="K380" s="65" t="s">
        <v>103</v>
      </c>
      <c r="L380" s="160"/>
      <c r="M380" s="160"/>
      <c r="N380" s="160"/>
      <c r="O380" s="162"/>
    </row>
    <row r="381" spans="1:15" ht="15" customHeight="1" x14ac:dyDescent="0.25">
      <c r="A381" s="154" t="s">
        <v>854</v>
      </c>
      <c r="B381" s="61" t="s">
        <v>855</v>
      </c>
      <c r="C381" s="63" t="s">
        <v>889</v>
      </c>
      <c r="D381" s="61" t="s">
        <v>890</v>
      </c>
      <c r="E381" s="61" t="s">
        <v>906</v>
      </c>
      <c r="F381" s="62" t="s">
        <v>907</v>
      </c>
      <c r="G381" s="61" t="s">
        <v>801</v>
      </c>
      <c r="H381" s="61" t="s">
        <v>802</v>
      </c>
      <c r="I381" s="64">
        <v>517</v>
      </c>
      <c r="J381" s="67"/>
      <c r="K381" s="65" t="s">
        <v>103</v>
      </c>
      <c r="L381" s="160"/>
      <c r="M381" s="160"/>
      <c r="N381" s="160"/>
      <c r="O381" s="161"/>
    </row>
    <row r="382" spans="1:15" ht="15" customHeight="1" x14ac:dyDescent="0.25">
      <c r="A382" s="154" t="s">
        <v>854</v>
      </c>
      <c r="B382" s="61" t="s">
        <v>855</v>
      </c>
      <c r="C382" s="63" t="s">
        <v>889</v>
      </c>
      <c r="D382" s="61" t="s">
        <v>890</v>
      </c>
      <c r="E382" s="61" t="s">
        <v>807</v>
      </c>
      <c r="F382" s="62" t="s">
        <v>808</v>
      </c>
      <c r="G382" s="61" t="s">
        <v>801</v>
      </c>
      <c r="H382" s="61" t="s">
        <v>802</v>
      </c>
      <c r="I382" s="64">
        <v>200721</v>
      </c>
      <c r="J382" s="67"/>
      <c r="K382" s="65" t="s">
        <v>104</v>
      </c>
      <c r="L382" s="160"/>
      <c r="M382" s="160"/>
      <c r="N382" s="160"/>
      <c r="O382" s="162"/>
    </row>
    <row r="383" spans="1:15" ht="15" customHeight="1" x14ac:dyDescent="0.25">
      <c r="A383" s="154" t="s">
        <v>854</v>
      </c>
      <c r="B383" s="61" t="s">
        <v>855</v>
      </c>
      <c r="C383" s="63" t="s">
        <v>889</v>
      </c>
      <c r="D383" s="61" t="s">
        <v>890</v>
      </c>
      <c r="E383" s="61" t="s">
        <v>813</v>
      </c>
      <c r="F383" s="62" t="s">
        <v>814</v>
      </c>
      <c r="G383" s="61" t="s">
        <v>801</v>
      </c>
      <c r="H383" s="61" t="s">
        <v>802</v>
      </c>
      <c r="I383" s="64">
        <v>1557</v>
      </c>
      <c r="J383" s="67"/>
      <c r="K383" s="65" t="s">
        <v>103</v>
      </c>
      <c r="L383" s="160"/>
      <c r="M383" s="160"/>
      <c r="N383" s="160"/>
      <c r="O383" s="161"/>
    </row>
    <row r="384" spans="1:15" ht="15" customHeight="1" x14ac:dyDescent="0.25">
      <c r="A384" s="154" t="s">
        <v>854</v>
      </c>
      <c r="B384" s="61" t="s">
        <v>855</v>
      </c>
      <c r="C384" s="63" t="s">
        <v>889</v>
      </c>
      <c r="D384" s="61" t="s">
        <v>890</v>
      </c>
      <c r="E384" s="61" t="s">
        <v>815</v>
      </c>
      <c r="F384" s="62" t="s">
        <v>141</v>
      </c>
      <c r="G384" s="61" t="s">
        <v>801</v>
      </c>
      <c r="H384" s="61" t="s">
        <v>802</v>
      </c>
      <c r="I384" s="64">
        <v>214603</v>
      </c>
      <c r="J384" s="67"/>
      <c r="K384" s="65" t="s">
        <v>105</v>
      </c>
      <c r="L384" s="160"/>
      <c r="M384" s="160"/>
      <c r="N384" s="160"/>
      <c r="O384" s="162"/>
    </row>
    <row r="385" spans="1:15" ht="15" customHeight="1" x14ac:dyDescent="0.25">
      <c r="A385" s="154" t="s">
        <v>854</v>
      </c>
      <c r="B385" s="61" t="s">
        <v>855</v>
      </c>
      <c r="C385" s="63" t="s">
        <v>889</v>
      </c>
      <c r="D385" s="61" t="s">
        <v>890</v>
      </c>
      <c r="E385" s="61" t="s">
        <v>938</v>
      </c>
      <c r="F385" s="62" t="s">
        <v>939</v>
      </c>
      <c r="G385" s="61" t="s">
        <v>801</v>
      </c>
      <c r="H385" s="61" t="s">
        <v>802</v>
      </c>
      <c r="I385" s="64">
        <v>151</v>
      </c>
      <c r="J385" s="67"/>
      <c r="K385" s="65" t="s">
        <v>107</v>
      </c>
      <c r="L385" s="160"/>
      <c r="M385" s="160"/>
      <c r="N385" s="160"/>
      <c r="O385" s="161"/>
    </row>
    <row r="386" spans="1:15" ht="15" customHeight="1" x14ac:dyDescent="0.25">
      <c r="A386" s="154" t="s">
        <v>854</v>
      </c>
      <c r="B386" s="61" t="s">
        <v>855</v>
      </c>
      <c r="C386" s="63" t="s">
        <v>889</v>
      </c>
      <c r="D386" s="61" t="s">
        <v>890</v>
      </c>
      <c r="E386" s="61" t="s">
        <v>944</v>
      </c>
      <c r="F386" s="62" t="s">
        <v>945</v>
      </c>
      <c r="G386" s="61" t="s">
        <v>801</v>
      </c>
      <c r="H386" s="61" t="s">
        <v>802</v>
      </c>
      <c r="I386" s="64">
        <v>1822</v>
      </c>
      <c r="J386" s="67"/>
      <c r="K386" s="65" t="s">
        <v>107</v>
      </c>
      <c r="L386" s="160"/>
      <c r="M386" s="160"/>
      <c r="N386" s="160"/>
      <c r="O386" s="162"/>
    </row>
    <row r="387" spans="1:15" ht="15" customHeight="1" x14ac:dyDescent="0.25">
      <c r="A387" s="154" t="s">
        <v>854</v>
      </c>
      <c r="B387" s="61" t="s">
        <v>855</v>
      </c>
      <c r="C387" s="63" t="s">
        <v>889</v>
      </c>
      <c r="D387" s="61" t="s">
        <v>890</v>
      </c>
      <c r="E387" s="61" t="s">
        <v>1002</v>
      </c>
      <c r="F387" s="62" t="s">
        <v>1003</v>
      </c>
      <c r="G387" s="61" t="s">
        <v>801</v>
      </c>
      <c r="H387" s="61" t="s">
        <v>802</v>
      </c>
      <c r="I387" s="64">
        <v>656</v>
      </c>
      <c r="J387" s="67"/>
      <c r="K387" s="65" t="s">
        <v>107</v>
      </c>
      <c r="L387" s="160"/>
      <c r="M387" s="160"/>
      <c r="N387" s="160"/>
      <c r="O387" s="161"/>
    </row>
    <row r="388" spans="1:15" ht="15" customHeight="1" x14ac:dyDescent="0.25">
      <c r="A388" s="154" t="s">
        <v>854</v>
      </c>
      <c r="B388" s="61" t="s">
        <v>855</v>
      </c>
      <c r="C388" s="63" t="s">
        <v>889</v>
      </c>
      <c r="D388" s="61" t="s">
        <v>890</v>
      </c>
      <c r="E388" s="61" t="s">
        <v>984</v>
      </c>
      <c r="F388" s="62" t="s">
        <v>985</v>
      </c>
      <c r="G388" s="61" t="s">
        <v>801</v>
      </c>
      <c r="H388" s="61" t="s">
        <v>802</v>
      </c>
      <c r="I388" s="64">
        <v>4117</v>
      </c>
      <c r="J388" s="67"/>
      <c r="K388" s="65" t="s">
        <v>107</v>
      </c>
      <c r="L388" s="160"/>
      <c r="M388" s="160"/>
      <c r="N388" s="160"/>
      <c r="O388" s="162"/>
    </row>
    <row r="389" spans="1:15" ht="15" customHeight="1" x14ac:dyDescent="0.25">
      <c r="A389" s="154" t="s">
        <v>854</v>
      </c>
      <c r="B389" s="61" t="s">
        <v>855</v>
      </c>
      <c r="C389" s="63" t="s">
        <v>889</v>
      </c>
      <c r="D389" s="61" t="s">
        <v>890</v>
      </c>
      <c r="E389" s="61" t="s">
        <v>824</v>
      </c>
      <c r="F389" s="62" t="s">
        <v>825</v>
      </c>
      <c r="G389" s="61" t="s">
        <v>801</v>
      </c>
      <c r="H389" s="61" t="s">
        <v>802</v>
      </c>
      <c r="I389" s="64">
        <v>7490</v>
      </c>
      <c r="J389" s="67"/>
      <c r="K389" s="65" t="s">
        <v>107</v>
      </c>
      <c r="L389" s="160"/>
      <c r="M389" s="160"/>
      <c r="N389" s="160"/>
      <c r="O389" s="161"/>
    </row>
    <row r="390" spans="1:15" ht="15" customHeight="1" x14ac:dyDescent="0.25">
      <c r="A390" s="154" t="s">
        <v>854</v>
      </c>
      <c r="B390" s="61" t="s">
        <v>855</v>
      </c>
      <c r="C390" s="63" t="s">
        <v>889</v>
      </c>
      <c r="D390" s="61" t="s">
        <v>890</v>
      </c>
      <c r="E390" s="61" t="s">
        <v>826</v>
      </c>
      <c r="F390" s="62" t="s">
        <v>827</v>
      </c>
      <c r="G390" s="61" t="s">
        <v>801</v>
      </c>
      <c r="H390" s="61" t="s">
        <v>802</v>
      </c>
      <c r="I390" s="64">
        <v>945</v>
      </c>
      <c r="J390" s="67"/>
      <c r="K390" s="65" t="s">
        <v>107</v>
      </c>
      <c r="L390" s="160"/>
      <c r="M390" s="160"/>
      <c r="N390" s="160"/>
      <c r="O390" s="162"/>
    </row>
    <row r="391" spans="1:15" ht="15" customHeight="1" x14ac:dyDescent="0.25">
      <c r="A391" s="154" t="s">
        <v>854</v>
      </c>
      <c r="B391" s="61" t="s">
        <v>855</v>
      </c>
      <c r="C391" s="63" t="s">
        <v>889</v>
      </c>
      <c r="D391" s="61" t="s">
        <v>890</v>
      </c>
      <c r="E391" s="61" t="s">
        <v>830</v>
      </c>
      <c r="F391" s="62" t="s">
        <v>831</v>
      </c>
      <c r="G391" s="61" t="s">
        <v>801</v>
      </c>
      <c r="H391" s="61" t="s">
        <v>802</v>
      </c>
      <c r="I391" s="64">
        <v>2912</v>
      </c>
      <c r="J391" s="67"/>
      <c r="K391" s="65" t="s">
        <v>107</v>
      </c>
      <c r="L391" s="160"/>
      <c r="M391" s="160"/>
      <c r="N391" s="160"/>
      <c r="O391" s="161"/>
    </row>
    <row r="392" spans="1:15" ht="15" customHeight="1" x14ac:dyDescent="0.25">
      <c r="A392" s="154" t="s">
        <v>854</v>
      </c>
      <c r="B392" s="61" t="s">
        <v>855</v>
      </c>
      <c r="C392" s="63" t="s">
        <v>889</v>
      </c>
      <c r="D392" s="61" t="s">
        <v>890</v>
      </c>
      <c r="E392" s="61" t="s">
        <v>836</v>
      </c>
      <c r="F392" s="62" t="s">
        <v>837</v>
      </c>
      <c r="G392" s="61" t="s">
        <v>801</v>
      </c>
      <c r="H392" s="61" t="s">
        <v>802</v>
      </c>
      <c r="I392" s="64">
        <v>4455</v>
      </c>
      <c r="J392" s="67"/>
      <c r="K392" s="65" t="s">
        <v>107</v>
      </c>
      <c r="L392" s="160"/>
      <c r="M392" s="160"/>
      <c r="N392" s="160"/>
      <c r="O392" s="162"/>
    </row>
    <row r="393" spans="1:15" ht="15" customHeight="1" x14ac:dyDescent="0.25">
      <c r="A393" s="154" t="s">
        <v>854</v>
      </c>
      <c r="B393" s="61" t="s">
        <v>855</v>
      </c>
      <c r="C393" s="63" t="s">
        <v>889</v>
      </c>
      <c r="D393" s="61" t="s">
        <v>890</v>
      </c>
      <c r="E393" s="61" t="s">
        <v>912</v>
      </c>
      <c r="F393" s="62" t="s">
        <v>913</v>
      </c>
      <c r="G393" s="61" t="s">
        <v>801</v>
      </c>
      <c r="H393" s="61" t="s">
        <v>802</v>
      </c>
      <c r="I393" s="64">
        <v>1794</v>
      </c>
      <c r="J393" s="67"/>
      <c r="K393" s="65" t="s">
        <v>107</v>
      </c>
      <c r="L393" s="160"/>
      <c r="M393" s="160"/>
      <c r="N393" s="160"/>
      <c r="O393" s="161"/>
    </row>
    <row r="394" spans="1:15" ht="15" customHeight="1" x14ac:dyDescent="0.25">
      <c r="A394" s="154" t="s">
        <v>854</v>
      </c>
      <c r="B394" s="61" t="s">
        <v>855</v>
      </c>
      <c r="C394" s="63" t="s">
        <v>889</v>
      </c>
      <c r="D394" s="61" t="s">
        <v>890</v>
      </c>
      <c r="E394" s="61" t="s">
        <v>914</v>
      </c>
      <c r="F394" s="62" t="s">
        <v>915</v>
      </c>
      <c r="G394" s="61" t="s">
        <v>801</v>
      </c>
      <c r="H394" s="61" t="s">
        <v>802</v>
      </c>
      <c r="I394" s="64">
        <v>1236</v>
      </c>
      <c r="J394" s="67"/>
      <c r="K394" s="65" t="s">
        <v>107</v>
      </c>
      <c r="L394" s="160"/>
      <c r="M394" s="160"/>
      <c r="N394" s="160"/>
      <c r="O394" s="162"/>
    </row>
    <row r="395" spans="1:15" ht="15" customHeight="1" x14ac:dyDescent="0.25">
      <c r="A395" s="154" t="s">
        <v>854</v>
      </c>
      <c r="B395" s="61" t="s">
        <v>855</v>
      </c>
      <c r="C395" s="63" t="s">
        <v>889</v>
      </c>
      <c r="D395" s="61" t="s">
        <v>890</v>
      </c>
      <c r="E395" s="61" t="s">
        <v>846</v>
      </c>
      <c r="F395" s="62" t="s">
        <v>847</v>
      </c>
      <c r="G395" s="61" t="s">
        <v>801</v>
      </c>
      <c r="H395" s="61" t="s">
        <v>802</v>
      </c>
      <c r="I395" s="64">
        <v>319</v>
      </c>
      <c r="J395" s="67"/>
      <c r="K395" s="65" t="s">
        <v>107</v>
      </c>
      <c r="L395" s="160"/>
      <c r="M395" s="160"/>
      <c r="N395" s="160"/>
      <c r="O395" s="161"/>
    </row>
    <row r="396" spans="1:15" ht="15" customHeight="1" x14ac:dyDescent="0.25">
      <c r="A396" s="154" t="s">
        <v>854</v>
      </c>
      <c r="B396" s="61" t="s">
        <v>855</v>
      </c>
      <c r="C396" s="63" t="s">
        <v>889</v>
      </c>
      <c r="D396" s="61" t="s">
        <v>890</v>
      </c>
      <c r="E396" s="61" t="s">
        <v>867</v>
      </c>
      <c r="F396" s="62" t="s">
        <v>868</v>
      </c>
      <c r="G396" s="61" t="s">
        <v>801</v>
      </c>
      <c r="H396" s="61" t="s">
        <v>802</v>
      </c>
      <c r="I396" s="64">
        <v>12000</v>
      </c>
      <c r="J396" s="67"/>
      <c r="K396" s="65" t="s">
        <v>107</v>
      </c>
      <c r="L396" s="160"/>
      <c r="M396" s="160"/>
      <c r="N396" s="160"/>
      <c r="O396" s="162"/>
    </row>
    <row r="397" spans="1:15" ht="15" customHeight="1" x14ac:dyDescent="0.25">
      <c r="A397" s="154" t="s">
        <v>854</v>
      </c>
      <c r="B397" s="61" t="s">
        <v>855</v>
      </c>
      <c r="C397" s="63" t="s">
        <v>889</v>
      </c>
      <c r="D397" s="61" t="s">
        <v>890</v>
      </c>
      <c r="E397" s="61" t="s">
        <v>1008</v>
      </c>
      <c r="F397" s="62" t="s">
        <v>1009</v>
      </c>
      <c r="G397" s="61" t="s">
        <v>801</v>
      </c>
      <c r="H397" s="61" t="s">
        <v>802</v>
      </c>
      <c r="I397" s="64">
        <v>319</v>
      </c>
      <c r="J397" s="67"/>
      <c r="K397" s="65" t="s">
        <v>107</v>
      </c>
      <c r="L397" s="160"/>
      <c r="M397" s="160"/>
      <c r="N397" s="160"/>
      <c r="O397" s="161"/>
    </row>
    <row r="398" spans="1:15" ht="15" customHeight="1" x14ac:dyDescent="0.25">
      <c r="A398" s="154" t="s">
        <v>854</v>
      </c>
      <c r="B398" s="61" t="s">
        <v>855</v>
      </c>
      <c r="C398" s="63" t="s">
        <v>889</v>
      </c>
      <c r="D398" s="61" t="s">
        <v>890</v>
      </c>
      <c r="E398" s="61" t="s">
        <v>879</v>
      </c>
      <c r="F398" s="62" t="s">
        <v>880</v>
      </c>
      <c r="G398" s="61" t="s">
        <v>801</v>
      </c>
      <c r="H398" s="61" t="s">
        <v>802</v>
      </c>
      <c r="I398" s="64">
        <v>7300</v>
      </c>
      <c r="J398" s="67"/>
      <c r="K398" s="65" t="s">
        <v>108</v>
      </c>
      <c r="L398" s="160"/>
      <c r="M398" s="160"/>
      <c r="N398" s="160"/>
      <c r="O398" s="162"/>
    </row>
    <row r="399" spans="1:15" ht="15" customHeight="1" x14ac:dyDescent="0.25">
      <c r="A399" s="154" t="s">
        <v>854</v>
      </c>
      <c r="B399" s="61" t="s">
        <v>855</v>
      </c>
      <c r="C399" s="63" t="s">
        <v>889</v>
      </c>
      <c r="D399" s="61" t="s">
        <v>890</v>
      </c>
      <c r="E399" s="61" t="s">
        <v>980</v>
      </c>
      <c r="F399" s="62" t="s">
        <v>981</v>
      </c>
      <c r="G399" s="61" t="s">
        <v>801</v>
      </c>
      <c r="H399" s="61" t="s">
        <v>802</v>
      </c>
      <c r="I399" s="64">
        <v>-52184</v>
      </c>
      <c r="J399" s="67"/>
      <c r="K399" s="65" t="s">
        <v>111</v>
      </c>
      <c r="L399" s="160"/>
      <c r="M399" s="160"/>
      <c r="N399" s="160"/>
      <c r="O399" s="161"/>
    </row>
    <row r="400" spans="1:15" ht="15" customHeight="1" x14ac:dyDescent="0.25">
      <c r="A400" s="154" t="s">
        <v>854</v>
      </c>
      <c r="B400" s="61" t="s">
        <v>855</v>
      </c>
      <c r="C400" s="63" t="s">
        <v>889</v>
      </c>
      <c r="D400" s="61" t="s">
        <v>890</v>
      </c>
      <c r="E400" s="61" t="s">
        <v>885</v>
      </c>
      <c r="F400" s="62" t="s">
        <v>886</v>
      </c>
      <c r="G400" s="61" t="s">
        <v>801</v>
      </c>
      <c r="H400" s="61" t="s">
        <v>802</v>
      </c>
      <c r="I400" s="64">
        <v>-20406</v>
      </c>
      <c r="J400" s="67"/>
      <c r="K400" s="65" t="s">
        <v>109</v>
      </c>
      <c r="L400" s="160"/>
      <c r="M400" s="160"/>
      <c r="N400" s="160"/>
      <c r="O400" s="162"/>
    </row>
    <row r="401" spans="1:15" ht="15" customHeight="1" x14ac:dyDescent="0.25">
      <c r="A401" s="154" t="s">
        <v>854</v>
      </c>
      <c r="B401" s="61" t="s">
        <v>855</v>
      </c>
      <c r="C401" s="63" t="s">
        <v>889</v>
      </c>
      <c r="D401" s="61" t="s">
        <v>890</v>
      </c>
      <c r="E401" s="61" t="s">
        <v>887</v>
      </c>
      <c r="F401" s="62" t="s">
        <v>888</v>
      </c>
      <c r="G401" s="61" t="s">
        <v>801</v>
      </c>
      <c r="H401" s="61" t="s">
        <v>802</v>
      </c>
      <c r="I401" s="64">
        <v>-7300</v>
      </c>
      <c r="J401" s="67"/>
      <c r="K401" s="70" t="s">
        <v>110</v>
      </c>
      <c r="L401" s="160"/>
      <c r="M401" s="160"/>
      <c r="N401" s="160"/>
      <c r="O401" s="161"/>
    </row>
    <row r="402" spans="1:15" ht="15" customHeight="1" x14ac:dyDescent="0.25">
      <c r="A402" s="154" t="s">
        <v>805</v>
      </c>
      <c r="B402" s="61" t="s">
        <v>806</v>
      </c>
      <c r="C402" s="63" t="s">
        <v>889</v>
      </c>
      <c r="D402" s="61" t="s">
        <v>890</v>
      </c>
      <c r="E402" s="61" t="s">
        <v>893</v>
      </c>
      <c r="F402" s="62" t="s">
        <v>894</v>
      </c>
      <c r="G402" s="61" t="s">
        <v>801</v>
      </c>
      <c r="H402" s="61" t="s">
        <v>802</v>
      </c>
      <c r="I402" s="64">
        <v>674053</v>
      </c>
      <c r="J402" s="67"/>
      <c r="K402" s="65" t="s">
        <v>103</v>
      </c>
      <c r="L402" s="160"/>
      <c r="M402" s="160"/>
      <c r="N402" s="160"/>
      <c r="O402" s="162"/>
    </row>
    <row r="403" spans="1:15" ht="15" customHeight="1" x14ac:dyDescent="0.25">
      <c r="A403" s="154" t="s">
        <v>805</v>
      </c>
      <c r="B403" s="61" t="s">
        <v>806</v>
      </c>
      <c r="C403" s="63" t="s">
        <v>889</v>
      </c>
      <c r="D403" s="61" t="s">
        <v>890</v>
      </c>
      <c r="E403" s="61" t="s">
        <v>807</v>
      </c>
      <c r="F403" s="62" t="s">
        <v>808</v>
      </c>
      <c r="G403" s="61" t="s">
        <v>801</v>
      </c>
      <c r="H403" s="61" t="s">
        <v>802</v>
      </c>
      <c r="I403" s="64">
        <v>-674053</v>
      </c>
      <c r="J403" s="67"/>
      <c r="K403" s="65" t="s">
        <v>104</v>
      </c>
      <c r="L403" s="160"/>
      <c r="M403" s="160"/>
      <c r="N403" s="160"/>
      <c r="O403" s="161"/>
    </row>
    <row r="404" spans="1:15" ht="15" customHeight="1" x14ac:dyDescent="0.25">
      <c r="A404" s="154" t="s">
        <v>805</v>
      </c>
      <c r="B404" s="61" t="s">
        <v>806</v>
      </c>
      <c r="C404" s="63" t="s">
        <v>889</v>
      </c>
      <c r="D404" s="61" t="s">
        <v>890</v>
      </c>
      <c r="E404" s="61" t="s">
        <v>858</v>
      </c>
      <c r="F404" s="62" t="s">
        <v>859</v>
      </c>
      <c r="G404" s="61" t="s">
        <v>801</v>
      </c>
      <c r="H404" s="61" t="s">
        <v>802</v>
      </c>
      <c r="I404" s="64">
        <v>25000</v>
      </c>
      <c r="J404" s="67"/>
      <c r="K404" s="65" t="s">
        <v>757</v>
      </c>
      <c r="L404" s="160"/>
      <c r="M404" s="160"/>
      <c r="N404" s="160"/>
      <c r="O404" s="162" t="s">
        <v>860</v>
      </c>
    </row>
    <row r="405" spans="1:15" ht="15" customHeight="1" x14ac:dyDescent="0.25">
      <c r="A405" s="154" t="s">
        <v>795</v>
      </c>
      <c r="B405" s="61" t="s">
        <v>796</v>
      </c>
      <c r="C405" s="63" t="s">
        <v>889</v>
      </c>
      <c r="D405" s="61" t="s">
        <v>890</v>
      </c>
      <c r="E405" s="61" t="s">
        <v>924</v>
      </c>
      <c r="F405" s="62" t="s">
        <v>925</v>
      </c>
      <c r="G405" s="61" t="s">
        <v>801</v>
      </c>
      <c r="H405" s="61" t="s">
        <v>802</v>
      </c>
      <c r="I405" s="64">
        <v>-1123</v>
      </c>
      <c r="J405" s="67"/>
      <c r="K405" s="65" t="s">
        <v>103</v>
      </c>
      <c r="L405" s="160"/>
      <c r="M405" s="160"/>
      <c r="N405" s="160"/>
      <c r="O405" s="161"/>
    </row>
    <row r="406" spans="1:15" ht="15" customHeight="1" x14ac:dyDescent="0.25">
      <c r="A406" s="154" t="s">
        <v>795</v>
      </c>
      <c r="B406" s="61" t="s">
        <v>796</v>
      </c>
      <c r="C406" s="63" t="s">
        <v>889</v>
      </c>
      <c r="D406" s="61" t="s">
        <v>890</v>
      </c>
      <c r="E406" s="61" t="s">
        <v>893</v>
      </c>
      <c r="F406" s="62" t="s">
        <v>894</v>
      </c>
      <c r="G406" s="61" t="s">
        <v>801</v>
      </c>
      <c r="H406" s="61" t="s">
        <v>802</v>
      </c>
      <c r="I406" s="64">
        <v>130905</v>
      </c>
      <c r="J406" s="67"/>
      <c r="K406" s="65" t="s">
        <v>103</v>
      </c>
      <c r="L406" s="160"/>
      <c r="M406" s="160"/>
      <c r="N406" s="160"/>
      <c r="O406" s="162"/>
    </row>
    <row r="407" spans="1:15" ht="15" customHeight="1" x14ac:dyDescent="0.25">
      <c r="A407" s="154" t="s">
        <v>795</v>
      </c>
      <c r="B407" s="61" t="s">
        <v>796</v>
      </c>
      <c r="C407" s="63" t="s">
        <v>889</v>
      </c>
      <c r="D407" s="61" t="s">
        <v>890</v>
      </c>
      <c r="E407" s="61" t="s">
        <v>799</v>
      </c>
      <c r="F407" s="62" t="s">
        <v>800</v>
      </c>
      <c r="G407" s="61" t="s">
        <v>801</v>
      </c>
      <c r="H407" s="61" t="s">
        <v>802</v>
      </c>
      <c r="I407" s="64">
        <v>12087</v>
      </c>
      <c r="J407" s="67"/>
      <c r="K407" s="65" t="s">
        <v>103</v>
      </c>
      <c r="L407" s="160"/>
      <c r="M407" s="160"/>
      <c r="N407" s="160"/>
      <c r="O407" s="161"/>
    </row>
    <row r="408" spans="1:15" ht="15" customHeight="1" x14ac:dyDescent="0.25">
      <c r="A408" s="154" t="s">
        <v>795</v>
      </c>
      <c r="B408" s="61" t="s">
        <v>796</v>
      </c>
      <c r="C408" s="63" t="s">
        <v>889</v>
      </c>
      <c r="D408" s="61" t="s">
        <v>890</v>
      </c>
      <c r="E408" s="61" t="s">
        <v>896</v>
      </c>
      <c r="F408" s="62" t="s">
        <v>897</v>
      </c>
      <c r="G408" s="61" t="s">
        <v>801</v>
      </c>
      <c r="H408" s="61" t="s">
        <v>802</v>
      </c>
      <c r="I408" s="64">
        <v>304971</v>
      </c>
      <c r="J408" s="67"/>
      <c r="K408" s="65" t="s">
        <v>103</v>
      </c>
      <c r="L408" s="160"/>
      <c r="M408" s="160"/>
      <c r="N408" s="160"/>
      <c r="O408" s="162"/>
    </row>
    <row r="409" spans="1:15" ht="15" customHeight="1" x14ac:dyDescent="0.25">
      <c r="A409" s="154" t="s">
        <v>795</v>
      </c>
      <c r="B409" s="61" t="s">
        <v>796</v>
      </c>
      <c r="C409" s="63" t="s">
        <v>889</v>
      </c>
      <c r="D409" s="61" t="s">
        <v>890</v>
      </c>
      <c r="E409" s="61" t="s">
        <v>968</v>
      </c>
      <c r="F409" s="62" t="s">
        <v>969</v>
      </c>
      <c r="G409" s="61" t="s">
        <v>801</v>
      </c>
      <c r="H409" s="61" t="s">
        <v>802</v>
      </c>
      <c r="I409" s="64">
        <v>33637</v>
      </c>
      <c r="J409" s="67"/>
      <c r="K409" s="65" t="s">
        <v>103</v>
      </c>
      <c r="L409" s="160"/>
      <c r="M409" s="160"/>
      <c r="N409" s="160"/>
      <c r="O409" s="161"/>
    </row>
    <row r="410" spans="1:15" ht="15" customHeight="1" x14ac:dyDescent="0.25">
      <c r="A410" s="154" t="s">
        <v>795</v>
      </c>
      <c r="B410" s="61" t="s">
        <v>796</v>
      </c>
      <c r="C410" s="63" t="s">
        <v>889</v>
      </c>
      <c r="D410" s="61" t="s">
        <v>890</v>
      </c>
      <c r="E410" s="61" t="s">
        <v>1019</v>
      </c>
      <c r="F410" s="62" t="s">
        <v>1020</v>
      </c>
      <c r="G410" s="61" t="s">
        <v>801</v>
      </c>
      <c r="H410" s="61" t="s">
        <v>802</v>
      </c>
      <c r="I410" s="64">
        <v>43823</v>
      </c>
      <c r="J410" s="67"/>
      <c r="K410" s="65" t="s">
        <v>103</v>
      </c>
      <c r="L410" s="160"/>
      <c r="M410" s="160"/>
      <c r="N410" s="160"/>
      <c r="O410" s="162"/>
    </row>
    <row r="411" spans="1:15" ht="15" customHeight="1" x14ac:dyDescent="0.25">
      <c r="A411" s="154" t="s">
        <v>795</v>
      </c>
      <c r="B411" s="61" t="s">
        <v>796</v>
      </c>
      <c r="C411" s="63" t="s">
        <v>889</v>
      </c>
      <c r="D411" s="61" t="s">
        <v>890</v>
      </c>
      <c r="E411" s="61" t="s">
        <v>902</v>
      </c>
      <c r="F411" s="62" t="s">
        <v>903</v>
      </c>
      <c r="G411" s="61" t="s">
        <v>801</v>
      </c>
      <c r="H411" s="61" t="s">
        <v>802</v>
      </c>
      <c r="I411" s="64">
        <v>659</v>
      </c>
      <c r="J411" s="67"/>
      <c r="K411" s="65" t="s">
        <v>103</v>
      </c>
      <c r="L411" s="160"/>
      <c r="M411" s="160"/>
      <c r="N411" s="160"/>
      <c r="O411" s="161"/>
    </row>
    <row r="412" spans="1:15" ht="15" customHeight="1" x14ac:dyDescent="0.25">
      <c r="A412" s="154" t="s">
        <v>795</v>
      </c>
      <c r="B412" s="61" t="s">
        <v>796</v>
      </c>
      <c r="C412" s="63" t="s">
        <v>889</v>
      </c>
      <c r="D412" s="61" t="s">
        <v>890</v>
      </c>
      <c r="E412" s="61" t="s">
        <v>964</v>
      </c>
      <c r="F412" s="62" t="s">
        <v>965</v>
      </c>
      <c r="G412" s="61" t="s">
        <v>801</v>
      </c>
      <c r="H412" s="61" t="s">
        <v>802</v>
      </c>
      <c r="I412" s="64">
        <v>108</v>
      </c>
      <c r="J412" s="67"/>
      <c r="K412" s="65" t="s">
        <v>103</v>
      </c>
      <c r="L412" s="160"/>
      <c r="M412" s="160"/>
      <c r="N412" s="160"/>
      <c r="O412" s="162"/>
    </row>
    <row r="413" spans="1:15" ht="15" customHeight="1" x14ac:dyDescent="0.25">
      <c r="A413" s="154" t="s">
        <v>795</v>
      </c>
      <c r="B413" s="61" t="s">
        <v>796</v>
      </c>
      <c r="C413" s="63" t="s">
        <v>889</v>
      </c>
      <c r="D413" s="61" t="s">
        <v>890</v>
      </c>
      <c r="E413" s="61" t="s">
        <v>936</v>
      </c>
      <c r="F413" s="62" t="s">
        <v>937</v>
      </c>
      <c r="G413" s="61" t="s">
        <v>801</v>
      </c>
      <c r="H413" s="61" t="s">
        <v>802</v>
      </c>
      <c r="I413" s="64">
        <v>1971</v>
      </c>
      <c r="J413" s="67"/>
      <c r="K413" s="65" t="s">
        <v>103</v>
      </c>
      <c r="L413" s="160"/>
      <c r="M413" s="160"/>
      <c r="N413" s="160"/>
      <c r="O413" s="161"/>
    </row>
    <row r="414" spans="1:15" ht="15" customHeight="1" x14ac:dyDescent="0.25">
      <c r="A414" s="154" t="s">
        <v>795</v>
      </c>
      <c r="B414" s="61" t="s">
        <v>796</v>
      </c>
      <c r="C414" s="63" t="s">
        <v>889</v>
      </c>
      <c r="D414" s="61" t="s">
        <v>890</v>
      </c>
      <c r="E414" s="61" t="s">
        <v>803</v>
      </c>
      <c r="F414" s="62" t="s">
        <v>804</v>
      </c>
      <c r="G414" s="61" t="s">
        <v>801</v>
      </c>
      <c r="H414" s="61" t="s">
        <v>802</v>
      </c>
      <c r="I414" s="64">
        <v>37777</v>
      </c>
      <c r="J414" s="67"/>
      <c r="K414" s="65" t="s">
        <v>103</v>
      </c>
      <c r="L414" s="160"/>
      <c r="M414" s="160"/>
      <c r="N414" s="160"/>
      <c r="O414" s="162"/>
    </row>
    <row r="415" spans="1:15" ht="15" customHeight="1" x14ac:dyDescent="0.25">
      <c r="A415" s="154" t="s">
        <v>795</v>
      </c>
      <c r="B415" s="61" t="s">
        <v>796</v>
      </c>
      <c r="C415" s="63" t="s">
        <v>889</v>
      </c>
      <c r="D415" s="61" t="s">
        <v>890</v>
      </c>
      <c r="E415" s="61" t="s">
        <v>807</v>
      </c>
      <c r="F415" s="62" t="s">
        <v>808</v>
      </c>
      <c r="G415" s="61" t="s">
        <v>801</v>
      </c>
      <c r="H415" s="61" t="s">
        <v>802</v>
      </c>
      <c r="I415" s="64">
        <v>74154</v>
      </c>
      <c r="J415" s="67"/>
      <c r="K415" s="65" t="s">
        <v>104</v>
      </c>
      <c r="L415" s="160"/>
      <c r="M415" s="160"/>
      <c r="N415" s="160"/>
      <c r="O415" s="161"/>
    </row>
    <row r="416" spans="1:15" ht="15" customHeight="1" x14ac:dyDescent="0.25">
      <c r="A416" s="154" t="s">
        <v>795</v>
      </c>
      <c r="B416" s="61" t="s">
        <v>796</v>
      </c>
      <c r="C416" s="63" t="s">
        <v>889</v>
      </c>
      <c r="D416" s="61" t="s">
        <v>890</v>
      </c>
      <c r="E416" s="61" t="s">
        <v>813</v>
      </c>
      <c r="F416" s="62" t="s">
        <v>814</v>
      </c>
      <c r="G416" s="61" t="s">
        <v>801</v>
      </c>
      <c r="H416" s="61" t="s">
        <v>802</v>
      </c>
      <c r="I416" s="67">
        <v>24</v>
      </c>
      <c r="J416" s="67"/>
      <c r="K416" s="65" t="s">
        <v>103</v>
      </c>
      <c r="L416" s="160"/>
      <c r="M416" s="160"/>
      <c r="N416" s="160"/>
      <c r="O416" s="162"/>
    </row>
    <row r="417" spans="1:15" ht="15" customHeight="1" x14ac:dyDescent="0.25">
      <c r="A417" s="154" t="s">
        <v>795</v>
      </c>
      <c r="B417" s="61" t="s">
        <v>796</v>
      </c>
      <c r="C417" s="63" t="s">
        <v>889</v>
      </c>
      <c r="D417" s="61" t="s">
        <v>890</v>
      </c>
      <c r="E417" s="61" t="s">
        <v>815</v>
      </c>
      <c r="F417" s="62" t="s">
        <v>141</v>
      </c>
      <c r="G417" s="61" t="s">
        <v>801</v>
      </c>
      <c r="H417" s="61" t="s">
        <v>802</v>
      </c>
      <c r="I417" s="64">
        <v>84210</v>
      </c>
      <c r="J417" s="67"/>
      <c r="K417" s="65" t="s">
        <v>105</v>
      </c>
      <c r="L417" s="160"/>
      <c r="M417" s="160"/>
      <c r="N417" s="160"/>
      <c r="O417" s="161"/>
    </row>
    <row r="418" spans="1:15" ht="15" customHeight="1" x14ac:dyDescent="0.25">
      <c r="A418" s="154" t="s">
        <v>795</v>
      </c>
      <c r="B418" s="61" t="s">
        <v>796</v>
      </c>
      <c r="C418" s="63" t="s">
        <v>889</v>
      </c>
      <c r="D418" s="61" t="s">
        <v>890</v>
      </c>
      <c r="E418" s="61" t="s">
        <v>885</v>
      </c>
      <c r="F418" s="62" t="s">
        <v>886</v>
      </c>
      <c r="G418" s="61" t="s">
        <v>801</v>
      </c>
      <c r="H418" s="61" t="s">
        <v>802</v>
      </c>
      <c r="I418" s="64">
        <v>-32613</v>
      </c>
      <c r="J418" s="67"/>
      <c r="K418" s="65" t="s">
        <v>109</v>
      </c>
      <c r="L418" s="160"/>
      <c r="M418" s="160"/>
      <c r="N418" s="160"/>
      <c r="O418" s="162"/>
    </row>
    <row r="419" spans="1:15" ht="15" customHeight="1" x14ac:dyDescent="0.25">
      <c r="A419" s="154" t="s">
        <v>822</v>
      </c>
      <c r="B419" s="61" t="s">
        <v>823</v>
      </c>
      <c r="C419" s="63" t="s">
        <v>889</v>
      </c>
      <c r="D419" s="61" t="s">
        <v>890</v>
      </c>
      <c r="E419" s="61" t="s">
        <v>824</v>
      </c>
      <c r="F419" s="62" t="s">
        <v>825</v>
      </c>
      <c r="G419" s="61" t="s">
        <v>801</v>
      </c>
      <c r="H419" s="61" t="s">
        <v>802</v>
      </c>
      <c r="I419" s="64">
        <v>209</v>
      </c>
      <c r="J419" s="67"/>
      <c r="K419" s="65" t="s">
        <v>107</v>
      </c>
      <c r="L419" s="160"/>
      <c r="M419" s="160"/>
      <c r="N419" s="160"/>
      <c r="O419" s="161"/>
    </row>
    <row r="420" spans="1:15" ht="15" customHeight="1" x14ac:dyDescent="0.25">
      <c r="A420" s="154" t="s">
        <v>822</v>
      </c>
      <c r="B420" s="61" t="s">
        <v>823</v>
      </c>
      <c r="C420" s="63" t="s">
        <v>889</v>
      </c>
      <c r="D420" s="61" t="s">
        <v>890</v>
      </c>
      <c r="E420" s="61" t="s">
        <v>828</v>
      </c>
      <c r="F420" s="62" t="s">
        <v>829</v>
      </c>
      <c r="G420" s="61" t="s">
        <v>801</v>
      </c>
      <c r="H420" s="61" t="s">
        <v>802</v>
      </c>
      <c r="I420" s="64">
        <v>365</v>
      </c>
      <c r="J420" s="67"/>
      <c r="K420" s="65" t="s">
        <v>107</v>
      </c>
      <c r="L420" s="160"/>
      <c r="M420" s="160"/>
      <c r="N420" s="160"/>
      <c r="O420" s="162"/>
    </row>
    <row r="421" spans="1:15" ht="15" customHeight="1" x14ac:dyDescent="0.25">
      <c r="A421" s="154" t="s">
        <v>822</v>
      </c>
      <c r="B421" s="61" t="s">
        <v>823</v>
      </c>
      <c r="C421" s="63" t="s">
        <v>889</v>
      </c>
      <c r="D421" s="61" t="s">
        <v>890</v>
      </c>
      <c r="E421" s="61" t="s">
        <v>838</v>
      </c>
      <c r="F421" s="62" t="s">
        <v>839</v>
      </c>
      <c r="G421" s="61" t="s">
        <v>801</v>
      </c>
      <c r="H421" s="61" t="s">
        <v>802</v>
      </c>
      <c r="I421" s="64">
        <v>29</v>
      </c>
      <c r="J421" s="67"/>
      <c r="K421" s="65" t="s">
        <v>107</v>
      </c>
      <c r="L421" s="160"/>
      <c r="M421" s="160"/>
      <c r="N421" s="160"/>
      <c r="O421" s="161"/>
    </row>
    <row r="422" spans="1:15" ht="15" customHeight="1" x14ac:dyDescent="0.25">
      <c r="A422" s="154" t="s">
        <v>822</v>
      </c>
      <c r="B422" s="61" t="s">
        <v>823</v>
      </c>
      <c r="C422" s="63" t="s">
        <v>889</v>
      </c>
      <c r="D422" s="61" t="s">
        <v>890</v>
      </c>
      <c r="E422" s="61" t="s">
        <v>842</v>
      </c>
      <c r="F422" s="62" t="s">
        <v>843</v>
      </c>
      <c r="G422" s="61" t="s">
        <v>801</v>
      </c>
      <c r="H422" s="61" t="s">
        <v>802</v>
      </c>
      <c r="I422" s="64">
        <v>56</v>
      </c>
      <c r="J422" s="67"/>
      <c r="K422" s="65" t="s">
        <v>107</v>
      </c>
      <c r="L422" s="160"/>
      <c r="M422" s="160"/>
      <c r="N422" s="160"/>
      <c r="O422" s="162"/>
    </row>
    <row r="423" spans="1:15" ht="15" customHeight="1" x14ac:dyDescent="0.25">
      <c r="A423" s="154" t="s">
        <v>822</v>
      </c>
      <c r="B423" s="61" t="s">
        <v>823</v>
      </c>
      <c r="C423" s="63" t="s">
        <v>889</v>
      </c>
      <c r="D423" s="61" t="s">
        <v>890</v>
      </c>
      <c r="E423" s="61" t="s">
        <v>867</v>
      </c>
      <c r="F423" s="62" t="s">
        <v>868</v>
      </c>
      <c r="G423" s="61" t="s">
        <v>801</v>
      </c>
      <c r="H423" s="61" t="s">
        <v>802</v>
      </c>
      <c r="I423" s="64">
        <v>260</v>
      </c>
      <c r="J423" s="67"/>
      <c r="K423" s="65" t="s">
        <v>107</v>
      </c>
      <c r="L423" s="160"/>
      <c r="M423" s="160"/>
      <c r="N423" s="160"/>
      <c r="O423" s="161"/>
    </row>
    <row r="424" spans="1:15" ht="15" customHeight="1" x14ac:dyDescent="0.25">
      <c r="A424" s="154" t="s">
        <v>822</v>
      </c>
      <c r="B424" s="61" t="s">
        <v>823</v>
      </c>
      <c r="C424" s="63" t="s">
        <v>889</v>
      </c>
      <c r="D424" s="61" t="s">
        <v>890</v>
      </c>
      <c r="E424" s="61" t="s">
        <v>875</v>
      </c>
      <c r="F424" s="62" t="s">
        <v>876</v>
      </c>
      <c r="G424" s="61" t="s">
        <v>801</v>
      </c>
      <c r="H424" s="61" t="s">
        <v>802</v>
      </c>
      <c r="I424" s="64">
        <v>2658</v>
      </c>
      <c r="J424" s="67"/>
      <c r="K424" s="65" t="s">
        <v>107</v>
      </c>
      <c r="L424" s="160"/>
      <c r="M424" s="160"/>
      <c r="N424" s="160"/>
      <c r="O424" s="162"/>
    </row>
    <row r="425" spans="1:15" ht="15" customHeight="1" x14ac:dyDescent="0.25">
      <c r="A425" s="154" t="s">
        <v>822</v>
      </c>
      <c r="B425" s="61" t="s">
        <v>823</v>
      </c>
      <c r="C425" s="63" t="s">
        <v>889</v>
      </c>
      <c r="D425" s="61" t="s">
        <v>890</v>
      </c>
      <c r="E425" s="61" t="s">
        <v>879</v>
      </c>
      <c r="F425" s="62" t="s">
        <v>880</v>
      </c>
      <c r="G425" s="61" t="s">
        <v>801</v>
      </c>
      <c r="H425" s="61" t="s">
        <v>802</v>
      </c>
      <c r="I425" s="64">
        <v>894</v>
      </c>
      <c r="J425" s="67"/>
      <c r="K425" s="65" t="s">
        <v>108</v>
      </c>
      <c r="L425" s="160"/>
      <c r="M425" s="160"/>
      <c r="N425" s="160"/>
      <c r="O425" s="161"/>
    </row>
    <row r="426" spans="1:15" ht="15" customHeight="1" x14ac:dyDescent="0.25">
      <c r="A426" s="154" t="s">
        <v>822</v>
      </c>
      <c r="B426" s="61" t="s">
        <v>823</v>
      </c>
      <c r="C426" s="63" t="s">
        <v>889</v>
      </c>
      <c r="D426" s="61" t="s">
        <v>890</v>
      </c>
      <c r="E426" s="61" t="s">
        <v>887</v>
      </c>
      <c r="F426" s="62" t="s">
        <v>888</v>
      </c>
      <c r="G426" s="61" t="s">
        <v>801</v>
      </c>
      <c r="H426" s="61" t="s">
        <v>802</v>
      </c>
      <c r="I426" s="64">
        <v>-894</v>
      </c>
      <c r="J426" s="67"/>
      <c r="K426" s="65" t="s">
        <v>110</v>
      </c>
      <c r="L426" s="160"/>
      <c r="M426" s="160"/>
      <c r="N426" s="160"/>
      <c r="O426" s="162"/>
    </row>
    <row r="427" spans="1:15" ht="15" customHeight="1" x14ac:dyDescent="0.25">
      <c r="A427" s="154" t="s">
        <v>1021</v>
      </c>
      <c r="B427" s="61" t="s">
        <v>1022</v>
      </c>
      <c r="C427" s="63" t="s">
        <v>889</v>
      </c>
      <c r="D427" s="61" t="s">
        <v>890</v>
      </c>
      <c r="E427" s="61" t="s">
        <v>1023</v>
      </c>
      <c r="F427" s="62" t="s">
        <v>1024</v>
      </c>
      <c r="G427" s="61" t="s">
        <v>801</v>
      </c>
      <c r="H427" s="61" t="s">
        <v>802</v>
      </c>
      <c r="I427" s="64">
        <v>60641</v>
      </c>
      <c r="J427" s="67"/>
      <c r="K427" s="65" t="s">
        <v>107</v>
      </c>
      <c r="L427" s="160"/>
      <c r="M427" s="160"/>
      <c r="N427" s="160"/>
      <c r="O427" s="161"/>
    </row>
    <row r="428" spans="1:15" ht="15" customHeight="1" x14ac:dyDescent="0.25">
      <c r="A428" s="154" t="s">
        <v>1021</v>
      </c>
      <c r="B428" s="61" t="s">
        <v>1022</v>
      </c>
      <c r="C428" s="63" t="s">
        <v>889</v>
      </c>
      <c r="D428" s="61" t="s">
        <v>890</v>
      </c>
      <c r="E428" s="61" t="s">
        <v>879</v>
      </c>
      <c r="F428" s="62" t="s">
        <v>880</v>
      </c>
      <c r="G428" s="61" t="s">
        <v>801</v>
      </c>
      <c r="H428" s="61" t="s">
        <v>802</v>
      </c>
      <c r="I428" s="64">
        <v>15160</v>
      </c>
      <c r="J428" s="67"/>
      <c r="K428" s="65" t="s">
        <v>108</v>
      </c>
      <c r="L428" s="160"/>
      <c r="M428" s="160"/>
      <c r="N428" s="160"/>
      <c r="O428" s="162"/>
    </row>
    <row r="429" spans="1:15" ht="15" customHeight="1" x14ac:dyDescent="0.25">
      <c r="A429" s="154" t="s">
        <v>1021</v>
      </c>
      <c r="B429" s="61" t="s">
        <v>1022</v>
      </c>
      <c r="C429" s="63" t="s">
        <v>889</v>
      </c>
      <c r="D429" s="61" t="s">
        <v>890</v>
      </c>
      <c r="E429" s="61" t="s">
        <v>887</v>
      </c>
      <c r="F429" s="62" t="s">
        <v>888</v>
      </c>
      <c r="G429" s="61" t="s">
        <v>801</v>
      </c>
      <c r="H429" s="61" t="s">
        <v>802</v>
      </c>
      <c r="I429" s="64">
        <v>-15160</v>
      </c>
      <c r="J429" s="67"/>
      <c r="K429" s="65" t="s">
        <v>110</v>
      </c>
      <c r="L429" s="160"/>
      <c r="M429" s="160"/>
      <c r="N429" s="160"/>
      <c r="O429" s="161"/>
    </row>
    <row r="430" spans="1:15" ht="15" customHeight="1" x14ac:dyDescent="0.25">
      <c r="A430" s="154" t="s">
        <v>809</v>
      </c>
      <c r="B430" s="69" t="s">
        <v>810</v>
      </c>
      <c r="C430" s="69" t="s">
        <v>889</v>
      </c>
      <c r="D430" s="66" t="s">
        <v>890</v>
      </c>
      <c r="E430" s="66" t="s">
        <v>807</v>
      </c>
      <c r="F430" s="67" t="s">
        <v>808</v>
      </c>
      <c r="G430" s="66" t="s">
        <v>811</v>
      </c>
      <c r="H430" s="66" t="s">
        <v>812</v>
      </c>
      <c r="I430" s="67">
        <v>3734343</v>
      </c>
      <c r="J430" s="67"/>
      <c r="K430" s="70" t="s">
        <v>104</v>
      </c>
      <c r="L430" s="160"/>
      <c r="M430" s="160"/>
      <c r="N430" s="160"/>
      <c r="O430" s="167"/>
    </row>
    <row r="431" spans="1:15" ht="15" customHeight="1" x14ac:dyDescent="0.25">
      <c r="A431" s="154" t="s">
        <v>809</v>
      </c>
      <c r="B431" s="69" t="s">
        <v>810</v>
      </c>
      <c r="C431" s="69" t="s">
        <v>889</v>
      </c>
      <c r="D431" s="66" t="s">
        <v>890</v>
      </c>
      <c r="E431" s="66" t="s">
        <v>891</v>
      </c>
      <c r="F431" s="67" t="s">
        <v>892</v>
      </c>
      <c r="G431" s="66" t="s">
        <v>811</v>
      </c>
      <c r="H431" s="66" t="s">
        <v>812</v>
      </c>
      <c r="I431" s="67">
        <v>30638</v>
      </c>
      <c r="J431" s="67"/>
      <c r="K431" s="70" t="s">
        <v>104</v>
      </c>
      <c r="L431" s="160"/>
      <c r="M431" s="160"/>
      <c r="N431" s="160"/>
      <c r="O431" s="161"/>
    </row>
    <row r="432" spans="1:15" ht="15" customHeight="1" x14ac:dyDescent="0.25">
      <c r="A432" s="154" t="s">
        <v>809</v>
      </c>
      <c r="B432" s="69" t="s">
        <v>810</v>
      </c>
      <c r="C432" s="69" t="s">
        <v>889</v>
      </c>
      <c r="D432" s="66" t="s">
        <v>890</v>
      </c>
      <c r="E432" s="66" t="s">
        <v>807</v>
      </c>
      <c r="F432" s="67" t="s">
        <v>808</v>
      </c>
      <c r="G432" s="66" t="s">
        <v>844</v>
      </c>
      <c r="H432" s="66" t="s">
        <v>895</v>
      </c>
      <c r="I432" s="67">
        <v>-9402</v>
      </c>
      <c r="J432" s="67"/>
      <c r="K432" s="70" t="s">
        <v>113</v>
      </c>
      <c r="L432" s="160"/>
      <c r="M432" s="160"/>
      <c r="N432" s="160"/>
      <c r="O432" s="161" t="s">
        <v>895</v>
      </c>
    </row>
    <row r="433" spans="1:15" ht="15" customHeight="1" x14ac:dyDescent="0.25">
      <c r="A433" s="154" t="s">
        <v>809</v>
      </c>
      <c r="B433" s="69" t="s">
        <v>810</v>
      </c>
      <c r="C433" s="69" t="s">
        <v>889</v>
      </c>
      <c r="D433" s="66" t="s">
        <v>890</v>
      </c>
      <c r="E433" s="66" t="s">
        <v>815</v>
      </c>
      <c r="F433" s="67" t="s">
        <v>141</v>
      </c>
      <c r="G433" s="66" t="s">
        <v>844</v>
      </c>
      <c r="H433" s="66" t="s">
        <v>895</v>
      </c>
      <c r="I433" s="67">
        <v>-1326</v>
      </c>
      <c r="J433" s="67"/>
      <c r="K433" s="70" t="s">
        <v>113</v>
      </c>
      <c r="L433" s="160"/>
      <c r="M433" s="160"/>
      <c r="N433" s="160"/>
      <c r="O433" s="162" t="s">
        <v>895</v>
      </c>
    </row>
    <row r="434" spans="1:15" ht="15" customHeight="1" x14ac:dyDescent="0.25">
      <c r="A434" s="154" t="s">
        <v>809</v>
      </c>
      <c r="B434" s="69" t="s">
        <v>810</v>
      </c>
      <c r="C434" s="69" t="s">
        <v>889</v>
      </c>
      <c r="D434" s="66" t="s">
        <v>890</v>
      </c>
      <c r="E434" s="66" t="s">
        <v>807</v>
      </c>
      <c r="F434" s="67" t="s">
        <v>808</v>
      </c>
      <c r="G434" s="66" t="s">
        <v>930</v>
      </c>
      <c r="H434" s="66" t="s">
        <v>931</v>
      </c>
      <c r="I434" s="67">
        <v>-1032</v>
      </c>
      <c r="J434" s="67"/>
      <c r="K434" s="70" t="s">
        <v>113</v>
      </c>
      <c r="L434" s="160"/>
      <c r="M434" s="160"/>
      <c r="N434" s="160"/>
      <c r="O434" s="162" t="s">
        <v>931</v>
      </c>
    </row>
    <row r="435" spans="1:15" ht="15" customHeight="1" x14ac:dyDescent="0.25">
      <c r="A435" s="154" t="s">
        <v>809</v>
      </c>
      <c r="B435" s="69" t="s">
        <v>810</v>
      </c>
      <c r="C435" s="69" t="s">
        <v>889</v>
      </c>
      <c r="D435" s="66" t="s">
        <v>890</v>
      </c>
      <c r="E435" s="66" t="s">
        <v>815</v>
      </c>
      <c r="F435" s="67" t="s">
        <v>141</v>
      </c>
      <c r="G435" s="66" t="s">
        <v>930</v>
      </c>
      <c r="H435" s="66" t="s">
        <v>931</v>
      </c>
      <c r="I435" s="67">
        <v>-146</v>
      </c>
      <c r="J435" s="67"/>
      <c r="K435" s="70" t="s">
        <v>113</v>
      </c>
      <c r="L435" s="160"/>
      <c r="M435" s="160"/>
      <c r="N435" s="160"/>
      <c r="O435" s="161" t="s">
        <v>931</v>
      </c>
    </row>
    <row r="436" spans="1:15" ht="15" customHeight="1" x14ac:dyDescent="0.25">
      <c r="A436" s="154" t="s">
        <v>809</v>
      </c>
      <c r="B436" s="69" t="s">
        <v>810</v>
      </c>
      <c r="C436" s="69" t="s">
        <v>889</v>
      </c>
      <c r="D436" s="66" t="s">
        <v>890</v>
      </c>
      <c r="E436" s="66" t="s">
        <v>807</v>
      </c>
      <c r="F436" s="68" t="s">
        <v>808</v>
      </c>
      <c r="G436" s="66" t="s">
        <v>952</v>
      </c>
      <c r="H436" s="66" t="s">
        <v>953</v>
      </c>
      <c r="I436" s="67">
        <v>-1649</v>
      </c>
      <c r="J436" s="67"/>
      <c r="K436" s="70" t="s">
        <v>113</v>
      </c>
      <c r="L436" s="160"/>
      <c r="M436" s="160"/>
      <c r="N436" s="160"/>
      <c r="O436" s="161" t="s">
        <v>953</v>
      </c>
    </row>
    <row r="437" spans="1:15" ht="15" customHeight="1" x14ac:dyDescent="0.25">
      <c r="A437" s="154" t="s">
        <v>809</v>
      </c>
      <c r="B437" s="69" t="s">
        <v>810</v>
      </c>
      <c r="C437" s="69" t="s">
        <v>889</v>
      </c>
      <c r="D437" s="66" t="s">
        <v>890</v>
      </c>
      <c r="E437" s="66" t="s">
        <v>815</v>
      </c>
      <c r="F437" s="68" t="s">
        <v>141</v>
      </c>
      <c r="G437" s="66" t="s">
        <v>952</v>
      </c>
      <c r="H437" s="66" t="s">
        <v>953</v>
      </c>
      <c r="I437" s="67">
        <v>-233</v>
      </c>
      <c r="J437" s="67"/>
      <c r="K437" s="70" t="s">
        <v>113</v>
      </c>
      <c r="L437" s="160"/>
      <c r="M437" s="160"/>
      <c r="N437" s="160"/>
      <c r="O437" s="162" t="s">
        <v>953</v>
      </c>
    </row>
    <row r="438" spans="1:15" s="196" customFormat="1" ht="15" customHeight="1" x14ac:dyDescent="0.25">
      <c r="A438" s="188" t="s">
        <v>809</v>
      </c>
      <c r="B438" s="190" t="s">
        <v>810</v>
      </c>
      <c r="C438" s="189" t="s">
        <v>889</v>
      </c>
      <c r="D438" s="190" t="s">
        <v>890</v>
      </c>
      <c r="E438" s="190" t="s">
        <v>807</v>
      </c>
      <c r="F438" s="191" t="s">
        <v>808</v>
      </c>
      <c r="G438" s="190" t="s">
        <v>966</v>
      </c>
      <c r="H438" s="190" t="s">
        <v>967</v>
      </c>
      <c r="I438" s="192">
        <v>-15763</v>
      </c>
      <c r="J438" s="192"/>
      <c r="K438" s="193" t="s">
        <v>104</v>
      </c>
      <c r="L438" s="194"/>
      <c r="M438" s="194"/>
      <c r="N438" s="194"/>
      <c r="O438" s="195" t="s">
        <v>1025</v>
      </c>
    </row>
    <row r="439" spans="1:15" s="196" customFormat="1" ht="15" customHeight="1" x14ac:dyDescent="0.25">
      <c r="A439" s="188" t="s">
        <v>809</v>
      </c>
      <c r="B439" s="190" t="s">
        <v>810</v>
      </c>
      <c r="C439" s="189" t="s">
        <v>889</v>
      </c>
      <c r="D439" s="190" t="s">
        <v>890</v>
      </c>
      <c r="E439" s="190" t="s">
        <v>815</v>
      </c>
      <c r="F439" s="191" t="s">
        <v>141</v>
      </c>
      <c r="G439" s="190" t="s">
        <v>966</v>
      </c>
      <c r="H439" s="190" t="s">
        <v>967</v>
      </c>
      <c r="I439" s="192">
        <v>-2223</v>
      </c>
      <c r="J439" s="192"/>
      <c r="K439" s="193" t="s">
        <v>105</v>
      </c>
      <c r="L439" s="194"/>
      <c r="M439" s="194"/>
      <c r="N439" s="194"/>
      <c r="O439" s="197" t="s">
        <v>1025</v>
      </c>
    </row>
    <row r="440" spans="1:15" ht="15" customHeight="1" x14ac:dyDescent="0.25">
      <c r="A440" s="154" t="s">
        <v>809</v>
      </c>
      <c r="B440" s="61" t="s">
        <v>810</v>
      </c>
      <c r="C440" s="63" t="s">
        <v>889</v>
      </c>
      <c r="D440" s="61" t="s">
        <v>890</v>
      </c>
      <c r="E440" s="61" t="s">
        <v>807</v>
      </c>
      <c r="F440" s="62" t="s">
        <v>808</v>
      </c>
      <c r="G440" s="61" t="s">
        <v>801</v>
      </c>
      <c r="H440" s="61" t="s">
        <v>802</v>
      </c>
      <c r="I440" s="64">
        <v>-870643</v>
      </c>
      <c r="J440" s="67"/>
      <c r="K440" s="65" t="s">
        <v>104</v>
      </c>
      <c r="L440" s="160"/>
      <c r="M440" s="160"/>
      <c r="N440" s="160"/>
      <c r="O440" s="162"/>
    </row>
    <row r="441" spans="1:15" ht="15" customHeight="1" x14ac:dyDescent="0.25">
      <c r="A441" s="154" t="s">
        <v>809</v>
      </c>
      <c r="B441" s="61" t="s">
        <v>810</v>
      </c>
      <c r="C441" s="63" t="s">
        <v>889</v>
      </c>
      <c r="D441" s="61" t="s">
        <v>890</v>
      </c>
      <c r="E441" s="61" t="s">
        <v>891</v>
      </c>
      <c r="F441" s="62" t="s">
        <v>892</v>
      </c>
      <c r="G441" s="61" t="s">
        <v>801</v>
      </c>
      <c r="H441" s="61" t="s">
        <v>802</v>
      </c>
      <c r="I441" s="64">
        <v>-11464</v>
      </c>
      <c r="J441" s="67"/>
      <c r="K441" s="65" t="s">
        <v>104</v>
      </c>
      <c r="L441" s="160"/>
      <c r="M441" s="160"/>
      <c r="N441" s="160"/>
      <c r="O441" s="161"/>
    </row>
    <row r="442" spans="1:15" ht="15" customHeight="1" x14ac:dyDescent="0.25">
      <c r="A442" s="154" t="s">
        <v>809</v>
      </c>
      <c r="B442" s="61" t="s">
        <v>810</v>
      </c>
      <c r="C442" s="63" t="s">
        <v>889</v>
      </c>
      <c r="D442" s="61" t="s">
        <v>890</v>
      </c>
      <c r="E442" s="61" t="s">
        <v>815</v>
      </c>
      <c r="F442" s="62" t="s">
        <v>141</v>
      </c>
      <c r="G442" s="61" t="s">
        <v>801</v>
      </c>
      <c r="H442" s="61" t="s">
        <v>802</v>
      </c>
      <c r="I442" s="64">
        <v>-124377</v>
      </c>
      <c r="J442" s="67"/>
      <c r="K442" s="65" t="s">
        <v>105</v>
      </c>
      <c r="L442" s="160"/>
      <c r="M442" s="160"/>
      <c r="N442" s="160"/>
      <c r="O442" s="162"/>
    </row>
    <row r="443" spans="1:15" ht="15" customHeight="1" x14ac:dyDescent="0.25">
      <c r="A443" s="154" t="s">
        <v>832</v>
      </c>
      <c r="B443" s="61" t="s">
        <v>833</v>
      </c>
      <c r="C443" s="63" t="s">
        <v>889</v>
      </c>
      <c r="D443" s="61" t="s">
        <v>890</v>
      </c>
      <c r="E443" s="61" t="s">
        <v>830</v>
      </c>
      <c r="F443" s="62" t="s">
        <v>831</v>
      </c>
      <c r="G443" s="61" t="s">
        <v>801</v>
      </c>
      <c r="H443" s="61" t="s">
        <v>802</v>
      </c>
      <c r="I443" s="64">
        <v>3354</v>
      </c>
      <c r="J443" s="67"/>
      <c r="K443" s="65" t="s">
        <v>107</v>
      </c>
      <c r="L443" s="160"/>
      <c r="M443" s="160"/>
      <c r="N443" s="160"/>
      <c r="O443" s="161"/>
    </row>
    <row r="444" spans="1:15" ht="15" customHeight="1" x14ac:dyDescent="0.25">
      <c r="A444" s="154" t="s">
        <v>832</v>
      </c>
      <c r="B444" s="61" t="s">
        <v>833</v>
      </c>
      <c r="C444" s="63" t="s">
        <v>889</v>
      </c>
      <c r="D444" s="61" t="s">
        <v>890</v>
      </c>
      <c r="E444" s="61" t="s">
        <v>834</v>
      </c>
      <c r="F444" s="62" t="s">
        <v>835</v>
      </c>
      <c r="G444" s="61" t="s">
        <v>801</v>
      </c>
      <c r="H444" s="61" t="s">
        <v>802</v>
      </c>
      <c r="I444" s="64">
        <v>1586</v>
      </c>
      <c r="J444" s="67"/>
      <c r="K444" s="65" t="s">
        <v>107</v>
      </c>
      <c r="L444" s="160"/>
      <c r="M444" s="160"/>
      <c r="N444" s="160"/>
      <c r="O444" s="162"/>
    </row>
    <row r="445" spans="1:15" ht="15" customHeight="1" x14ac:dyDescent="0.25">
      <c r="A445" s="154" t="s">
        <v>832</v>
      </c>
      <c r="B445" s="61" t="s">
        <v>833</v>
      </c>
      <c r="C445" s="63" t="s">
        <v>889</v>
      </c>
      <c r="D445" s="61" t="s">
        <v>890</v>
      </c>
      <c r="E445" s="61" t="s">
        <v>994</v>
      </c>
      <c r="F445" s="62" t="s">
        <v>995</v>
      </c>
      <c r="G445" s="61" t="s">
        <v>801</v>
      </c>
      <c r="H445" s="61" t="s">
        <v>802</v>
      </c>
      <c r="I445" s="64">
        <v>-172003</v>
      </c>
      <c r="J445" s="67"/>
      <c r="K445" s="65" t="s">
        <v>106</v>
      </c>
      <c r="L445" s="160"/>
      <c r="M445" s="160"/>
      <c r="N445" s="160"/>
      <c r="O445" s="161"/>
    </row>
    <row r="446" spans="1:15" ht="15" customHeight="1" x14ac:dyDescent="0.25">
      <c r="A446" s="154" t="s">
        <v>832</v>
      </c>
      <c r="B446" s="61" t="s">
        <v>833</v>
      </c>
      <c r="C446" s="63" t="s">
        <v>889</v>
      </c>
      <c r="D446" s="61" t="s">
        <v>890</v>
      </c>
      <c r="E446" s="61" t="s">
        <v>863</v>
      </c>
      <c r="F446" s="62" t="s">
        <v>864</v>
      </c>
      <c r="G446" s="61" t="s">
        <v>801</v>
      </c>
      <c r="H446" s="61" t="s">
        <v>802</v>
      </c>
      <c r="I446" s="64">
        <v>548895</v>
      </c>
      <c r="J446" s="67"/>
      <c r="K446" s="65" t="s">
        <v>106</v>
      </c>
      <c r="L446" s="160"/>
      <c r="M446" s="160"/>
      <c r="N446" s="160"/>
      <c r="O446" s="162"/>
    </row>
    <row r="447" spans="1:15" ht="15" customHeight="1" x14ac:dyDescent="0.25">
      <c r="A447" s="154" t="s">
        <v>832</v>
      </c>
      <c r="B447" s="61" t="s">
        <v>833</v>
      </c>
      <c r="C447" s="63" t="s">
        <v>889</v>
      </c>
      <c r="D447" s="61" t="s">
        <v>890</v>
      </c>
      <c r="E447" s="61" t="s">
        <v>879</v>
      </c>
      <c r="F447" s="62" t="s">
        <v>880</v>
      </c>
      <c r="G447" s="61" t="s">
        <v>801</v>
      </c>
      <c r="H447" s="61" t="s">
        <v>802</v>
      </c>
      <c r="I447" s="64">
        <v>87371</v>
      </c>
      <c r="J447" s="67"/>
      <c r="K447" s="65" t="s">
        <v>108</v>
      </c>
      <c r="L447" s="160"/>
      <c r="M447" s="160"/>
      <c r="N447" s="160"/>
      <c r="O447" s="161"/>
    </row>
    <row r="448" spans="1:15" ht="15" customHeight="1" x14ac:dyDescent="0.25">
      <c r="A448" s="154" t="s">
        <v>832</v>
      </c>
      <c r="B448" s="61" t="s">
        <v>833</v>
      </c>
      <c r="C448" s="63" t="s">
        <v>889</v>
      </c>
      <c r="D448" s="61" t="s">
        <v>890</v>
      </c>
      <c r="E448" s="61" t="s">
        <v>887</v>
      </c>
      <c r="F448" s="62" t="s">
        <v>888</v>
      </c>
      <c r="G448" s="61" t="s">
        <v>801</v>
      </c>
      <c r="H448" s="61" t="s">
        <v>802</v>
      </c>
      <c r="I448" s="64">
        <v>-87371</v>
      </c>
      <c r="J448" s="67"/>
      <c r="K448" s="65" t="s">
        <v>110</v>
      </c>
      <c r="L448" s="160"/>
      <c r="M448" s="160"/>
      <c r="N448" s="160"/>
      <c r="O448" s="162"/>
    </row>
    <row r="449" spans="1:15" ht="15" customHeight="1" x14ac:dyDescent="0.25">
      <c r="A449" s="154"/>
      <c r="B449" s="61"/>
      <c r="C449" s="63"/>
      <c r="D449" s="61"/>
      <c r="E449" s="61"/>
      <c r="F449" s="62"/>
      <c r="G449" s="61"/>
      <c r="H449" s="61"/>
      <c r="I449" s="64"/>
      <c r="J449" s="67"/>
      <c r="K449" s="65"/>
      <c r="L449" s="160"/>
      <c r="M449" s="160"/>
      <c r="N449" s="160"/>
      <c r="O449" s="161"/>
    </row>
    <row r="450" spans="1:15" ht="15" customHeight="1" x14ac:dyDescent="0.25">
      <c r="A450" s="154"/>
      <c r="B450" s="61"/>
      <c r="C450" s="63"/>
      <c r="D450" s="61"/>
      <c r="E450" s="61"/>
      <c r="F450" s="62"/>
      <c r="G450" s="61"/>
      <c r="H450" s="61"/>
      <c r="I450" s="64"/>
      <c r="J450" s="67"/>
      <c r="K450" s="65"/>
      <c r="L450" s="160"/>
      <c r="M450" s="160"/>
      <c r="N450" s="160"/>
      <c r="O450" s="162"/>
    </row>
    <row r="451" spans="1:15" ht="15" customHeight="1" x14ac:dyDescent="0.25">
      <c r="A451" s="154"/>
      <c r="B451" s="61"/>
      <c r="C451" s="63"/>
      <c r="D451" s="61"/>
      <c r="E451" s="61"/>
      <c r="F451" s="62"/>
      <c r="G451" s="61"/>
      <c r="H451" s="61"/>
      <c r="I451" s="64"/>
      <c r="J451" s="67"/>
      <c r="K451" s="65"/>
      <c r="L451" s="160"/>
      <c r="M451" s="160"/>
      <c r="N451" s="160"/>
      <c r="O451" s="161"/>
    </row>
    <row r="452" spans="1:15" ht="15" customHeight="1" x14ac:dyDescent="0.25">
      <c r="A452" s="154"/>
      <c r="B452" s="61"/>
      <c r="C452" s="63"/>
      <c r="D452" s="61"/>
      <c r="E452" s="61"/>
      <c r="F452" s="62"/>
      <c r="G452" s="61"/>
      <c r="H452" s="61"/>
      <c r="I452" s="64"/>
      <c r="J452" s="67"/>
      <c r="K452" s="65"/>
      <c r="L452" s="160"/>
      <c r="M452" s="160"/>
      <c r="N452" s="160"/>
      <c r="O452" s="162"/>
    </row>
    <row r="453" spans="1:15" ht="15" customHeight="1" x14ac:dyDescent="0.25">
      <c r="A453" s="154"/>
      <c r="B453" s="61"/>
      <c r="C453" s="63"/>
      <c r="D453" s="61"/>
      <c r="E453" s="61"/>
      <c r="F453" s="62"/>
      <c r="G453" s="61"/>
      <c r="H453" s="61"/>
      <c r="I453" s="64"/>
      <c r="J453" s="67"/>
      <c r="K453" s="65"/>
      <c r="L453" s="160"/>
      <c r="M453" s="160"/>
      <c r="N453" s="160"/>
      <c r="O453" s="161"/>
    </row>
    <row r="454" spans="1:15" ht="15" customHeight="1" x14ac:dyDescent="0.25">
      <c r="A454" s="154"/>
      <c r="B454" s="61"/>
      <c r="C454" s="63"/>
      <c r="D454" s="61"/>
      <c r="E454" s="61"/>
      <c r="F454" s="62"/>
      <c r="G454" s="61"/>
      <c r="H454" s="61"/>
      <c r="I454" s="64"/>
      <c r="J454" s="67"/>
      <c r="K454" s="65"/>
      <c r="L454" s="160"/>
      <c r="M454" s="160"/>
      <c r="N454" s="160"/>
      <c r="O454" s="162"/>
    </row>
    <row r="455" spans="1:15" ht="15" customHeight="1" x14ac:dyDescent="0.25">
      <c r="A455" s="154"/>
      <c r="B455" s="61"/>
      <c r="C455" s="63"/>
      <c r="D455" s="61"/>
      <c r="E455" s="61"/>
      <c r="F455" s="62"/>
      <c r="G455" s="61"/>
      <c r="H455" s="61"/>
      <c r="I455" s="64"/>
      <c r="J455" s="67"/>
      <c r="K455" s="65"/>
      <c r="L455" s="160"/>
      <c r="M455" s="160"/>
      <c r="N455" s="160"/>
      <c r="O455" s="161"/>
    </row>
    <row r="456" spans="1:15" ht="15" customHeight="1" x14ac:dyDescent="0.25">
      <c r="A456" s="154"/>
      <c r="B456" s="61"/>
      <c r="C456" s="63"/>
      <c r="D456" s="61"/>
      <c r="E456" s="61"/>
      <c r="F456" s="62"/>
      <c r="G456" s="61"/>
      <c r="H456" s="61"/>
      <c r="I456" s="64"/>
      <c r="J456" s="67"/>
      <c r="K456" s="65"/>
      <c r="L456" s="160"/>
      <c r="M456" s="160"/>
      <c r="N456" s="160"/>
      <c r="O456" s="162"/>
    </row>
    <row r="457" spans="1:15" ht="15" customHeight="1" x14ac:dyDescent="0.25">
      <c r="A457" s="154"/>
      <c r="B457" s="61"/>
      <c r="C457" s="63"/>
      <c r="D457" s="61"/>
      <c r="E457" s="61"/>
      <c r="F457" s="62"/>
      <c r="G457" s="61"/>
      <c r="H457" s="61"/>
      <c r="I457" s="64"/>
      <c r="J457" s="67"/>
      <c r="K457" s="65"/>
      <c r="L457" s="160"/>
      <c r="M457" s="160"/>
      <c r="N457" s="160"/>
      <c r="O457" s="161"/>
    </row>
    <row r="458" spans="1:15" ht="15" customHeight="1" x14ac:dyDescent="0.25">
      <c r="A458" s="154"/>
      <c r="B458" s="61"/>
      <c r="C458" s="63"/>
      <c r="D458" s="61"/>
      <c r="E458" s="61"/>
      <c r="F458" s="62"/>
      <c r="G458" s="61"/>
      <c r="H458" s="61"/>
      <c r="I458" s="64"/>
      <c r="J458" s="67"/>
      <c r="K458" s="66"/>
      <c r="L458" s="160"/>
      <c r="M458" s="160"/>
      <c r="N458" s="160"/>
      <c r="O458" s="162"/>
    </row>
    <row r="459" spans="1:15" ht="15" customHeight="1" x14ac:dyDescent="0.25">
      <c r="A459" s="154"/>
      <c r="B459" s="61"/>
      <c r="C459" s="63"/>
      <c r="D459" s="61"/>
      <c r="E459" s="61"/>
      <c r="F459" s="62"/>
      <c r="G459" s="61"/>
      <c r="H459" s="61"/>
      <c r="I459" s="64"/>
      <c r="J459" s="67"/>
      <c r="K459" s="66"/>
      <c r="L459" s="160"/>
      <c r="M459" s="160"/>
      <c r="N459" s="160"/>
      <c r="O459" s="161"/>
    </row>
    <row r="460" spans="1:15" ht="15" customHeight="1" x14ac:dyDescent="0.25">
      <c r="A460" s="154"/>
      <c r="B460" s="61"/>
      <c r="C460" s="63"/>
      <c r="D460" s="61"/>
      <c r="E460" s="61"/>
      <c r="F460" s="62"/>
      <c r="G460" s="61"/>
      <c r="H460" s="61"/>
      <c r="I460" s="64"/>
      <c r="J460" s="67"/>
      <c r="K460" s="66"/>
      <c r="L460" s="160"/>
      <c r="M460" s="160"/>
      <c r="N460" s="160"/>
      <c r="O460" s="162"/>
    </row>
    <row r="461" spans="1:15" ht="15" customHeight="1" x14ac:dyDescent="0.25">
      <c r="A461" s="154"/>
      <c r="B461" s="61"/>
      <c r="C461" s="63"/>
      <c r="D461" s="61"/>
      <c r="E461" s="61"/>
      <c r="F461" s="62"/>
      <c r="G461" s="61"/>
      <c r="H461" s="61"/>
      <c r="I461" s="64"/>
      <c r="J461" s="67"/>
      <c r="K461" s="66"/>
      <c r="L461" s="160"/>
      <c r="M461" s="160"/>
      <c r="N461" s="160"/>
      <c r="O461" s="161"/>
    </row>
    <row r="462" spans="1:15" ht="15" customHeight="1" x14ac:dyDescent="0.25">
      <c r="A462" s="154"/>
      <c r="B462" s="61"/>
      <c r="C462" s="63"/>
      <c r="D462" s="61"/>
      <c r="E462" s="61"/>
      <c r="F462" s="62"/>
      <c r="G462" s="61"/>
      <c r="H462" s="61"/>
      <c r="I462" s="64"/>
      <c r="J462" s="67"/>
      <c r="K462" s="66"/>
      <c r="L462" s="160"/>
      <c r="M462" s="160"/>
      <c r="N462" s="160"/>
      <c r="O462" s="162"/>
    </row>
    <row r="463" spans="1:15" ht="15" customHeight="1" x14ac:dyDescent="0.25">
      <c r="A463" s="154"/>
      <c r="B463" s="61"/>
      <c r="C463" s="63"/>
      <c r="D463" s="61"/>
      <c r="E463" s="61"/>
      <c r="F463" s="62"/>
      <c r="G463" s="61"/>
      <c r="H463" s="61"/>
      <c r="I463" s="64"/>
      <c r="J463" s="67"/>
      <c r="K463" s="66"/>
      <c r="L463" s="160"/>
      <c r="M463" s="160"/>
      <c r="N463" s="160"/>
      <c r="O463" s="161"/>
    </row>
    <row r="464" spans="1:15" ht="15" customHeight="1" x14ac:dyDescent="0.25">
      <c r="A464" s="154"/>
      <c r="B464" s="61"/>
      <c r="C464" s="63"/>
      <c r="D464" s="61"/>
      <c r="E464" s="61"/>
      <c r="F464" s="62"/>
      <c r="G464" s="61"/>
      <c r="H464" s="61"/>
      <c r="I464" s="64"/>
      <c r="J464" s="67"/>
      <c r="K464" s="66"/>
      <c r="L464" s="160"/>
      <c r="M464" s="160"/>
      <c r="N464" s="160"/>
      <c r="O464" s="162"/>
    </row>
    <row r="465" spans="1:15" ht="15" customHeight="1" x14ac:dyDescent="0.25">
      <c r="A465" s="154"/>
      <c r="B465" s="61"/>
      <c r="C465" s="63"/>
      <c r="D465" s="61"/>
      <c r="E465" s="61"/>
      <c r="F465" s="62"/>
      <c r="G465" s="61"/>
      <c r="H465" s="61"/>
      <c r="I465" s="64"/>
      <c r="J465" s="67"/>
      <c r="K465" s="66"/>
      <c r="L465" s="160"/>
      <c r="M465" s="160"/>
      <c r="N465" s="160"/>
      <c r="O465" s="161"/>
    </row>
    <row r="466" spans="1:15" ht="15" customHeight="1" x14ac:dyDescent="0.25">
      <c r="A466" s="154"/>
      <c r="B466" s="61"/>
      <c r="C466" s="63"/>
      <c r="D466" s="61"/>
      <c r="E466" s="61"/>
      <c r="F466" s="62"/>
      <c r="G466" s="61"/>
      <c r="H466" s="61"/>
      <c r="I466" s="64"/>
      <c r="J466" s="67"/>
      <c r="K466" s="66"/>
      <c r="L466" s="160"/>
      <c r="M466" s="160"/>
      <c r="N466" s="160"/>
      <c r="O466" s="162"/>
    </row>
    <row r="467" spans="1:15" ht="15" customHeight="1" x14ac:dyDescent="0.25">
      <c r="A467" s="154"/>
      <c r="B467" s="61"/>
      <c r="C467" s="63"/>
      <c r="D467" s="61"/>
      <c r="E467" s="61"/>
      <c r="F467" s="62"/>
      <c r="G467" s="61"/>
      <c r="H467" s="61"/>
      <c r="I467" s="64"/>
      <c r="J467" s="67"/>
      <c r="K467" s="65"/>
      <c r="L467" s="160"/>
      <c r="M467" s="160"/>
      <c r="N467" s="160"/>
      <c r="O467" s="161"/>
    </row>
    <row r="468" spans="1:15" ht="15" customHeight="1" x14ac:dyDescent="0.25">
      <c r="A468" s="154"/>
      <c r="B468" s="61"/>
      <c r="C468" s="63"/>
      <c r="D468" s="61"/>
      <c r="E468" s="61"/>
      <c r="F468" s="62"/>
      <c r="G468" s="61"/>
      <c r="H468" s="61"/>
      <c r="I468" s="64"/>
      <c r="J468" s="67"/>
      <c r="K468" s="66"/>
      <c r="L468" s="160"/>
      <c r="M468" s="160"/>
      <c r="N468" s="160"/>
      <c r="O468" s="162"/>
    </row>
    <row r="469" spans="1:15" ht="15" customHeight="1" x14ac:dyDescent="0.25">
      <c r="A469" s="154"/>
      <c r="B469" s="61"/>
      <c r="C469" s="63"/>
      <c r="D469" s="61"/>
      <c r="E469" s="61"/>
      <c r="F469" s="62"/>
      <c r="G469" s="61"/>
      <c r="H469" s="61"/>
      <c r="I469" s="64"/>
      <c r="J469" s="67"/>
      <c r="K469" s="66"/>
      <c r="L469" s="160"/>
      <c r="M469" s="160"/>
      <c r="N469" s="160"/>
      <c r="O469" s="161"/>
    </row>
    <row r="470" spans="1:15" ht="15" customHeight="1" x14ac:dyDescent="0.25">
      <c r="A470" s="154"/>
      <c r="B470" s="61"/>
      <c r="C470" s="63"/>
      <c r="D470" s="61"/>
      <c r="E470" s="61"/>
      <c r="F470" s="62"/>
      <c r="G470" s="61"/>
      <c r="H470" s="61"/>
      <c r="I470" s="64"/>
      <c r="J470" s="67"/>
      <c r="K470" s="65"/>
      <c r="L470" s="160"/>
      <c r="M470" s="160"/>
      <c r="N470" s="160"/>
      <c r="O470" s="162"/>
    </row>
    <row r="471" spans="1:15" ht="15" customHeight="1" x14ac:dyDescent="0.25">
      <c r="A471" s="154"/>
      <c r="B471" s="61"/>
      <c r="C471" s="63"/>
      <c r="D471" s="61"/>
      <c r="E471" s="61"/>
      <c r="F471" s="62"/>
      <c r="G471" s="61"/>
      <c r="H471" s="61"/>
      <c r="I471" s="64"/>
      <c r="J471" s="67"/>
      <c r="K471" s="65"/>
      <c r="L471" s="160"/>
      <c r="M471" s="160"/>
      <c r="N471" s="160"/>
      <c r="O471" s="161"/>
    </row>
    <row r="472" spans="1:15" ht="15" customHeight="1" x14ac:dyDescent="0.25">
      <c r="A472" s="154"/>
      <c r="B472" s="61"/>
      <c r="C472" s="63"/>
      <c r="D472" s="61"/>
      <c r="E472" s="61"/>
      <c r="F472" s="62"/>
      <c r="G472" s="61"/>
      <c r="H472" s="61"/>
      <c r="I472" s="64"/>
      <c r="J472" s="67"/>
      <c r="K472" s="65"/>
      <c r="L472" s="160"/>
      <c r="M472" s="160"/>
      <c r="N472" s="160"/>
      <c r="O472" s="162"/>
    </row>
    <row r="473" spans="1:15" ht="15" customHeight="1" x14ac:dyDescent="0.25">
      <c r="A473" s="154"/>
      <c r="B473" s="61"/>
      <c r="C473" s="63"/>
      <c r="D473" s="61"/>
      <c r="E473" s="61"/>
      <c r="F473" s="62"/>
      <c r="G473" s="61"/>
      <c r="H473" s="61"/>
      <c r="I473" s="64"/>
      <c r="J473" s="67"/>
      <c r="K473" s="65"/>
      <c r="L473" s="160"/>
      <c r="M473" s="160"/>
      <c r="N473" s="160"/>
      <c r="O473" s="161"/>
    </row>
    <row r="474" spans="1:15" ht="15" customHeight="1" x14ac:dyDescent="0.25">
      <c r="A474" s="154"/>
      <c r="B474" s="61"/>
      <c r="C474" s="63"/>
      <c r="D474" s="61"/>
      <c r="E474" s="61"/>
      <c r="F474" s="62"/>
      <c r="G474" s="61"/>
      <c r="H474" s="61"/>
      <c r="I474" s="64"/>
      <c r="J474" s="67"/>
      <c r="K474" s="65"/>
      <c r="L474" s="160"/>
      <c r="M474" s="160"/>
      <c r="N474" s="160"/>
      <c r="O474" s="162"/>
    </row>
    <row r="475" spans="1:15" ht="15" customHeight="1" x14ac:dyDescent="0.25">
      <c r="A475" s="154"/>
      <c r="B475" s="61"/>
      <c r="C475" s="63"/>
      <c r="D475" s="61"/>
      <c r="E475" s="61"/>
      <c r="F475" s="62"/>
      <c r="G475" s="61"/>
      <c r="H475" s="61"/>
      <c r="I475" s="64"/>
      <c r="J475" s="67"/>
      <c r="K475" s="65"/>
      <c r="L475" s="160"/>
      <c r="M475" s="160"/>
      <c r="N475" s="160"/>
      <c r="O475" s="161"/>
    </row>
    <row r="476" spans="1:15" ht="15" customHeight="1" x14ac:dyDescent="0.25">
      <c r="A476" s="154"/>
      <c r="B476" s="61"/>
      <c r="C476" s="63"/>
      <c r="D476" s="61"/>
      <c r="E476" s="61"/>
      <c r="F476" s="62"/>
      <c r="G476" s="61"/>
      <c r="H476" s="61"/>
      <c r="I476" s="64"/>
      <c r="J476" s="67"/>
      <c r="K476" s="65"/>
      <c r="L476" s="160"/>
      <c r="M476" s="160"/>
      <c r="N476" s="160"/>
      <c r="O476" s="162"/>
    </row>
    <row r="477" spans="1:15" ht="15" customHeight="1" x14ac:dyDescent="0.25">
      <c r="A477" s="154"/>
      <c r="B477" s="61"/>
      <c r="C477" s="63"/>
      <c r="D477" s="61"/>
      <c r="E477" s="61"/>
      <c r="F477" s="62"/>
      <c r="G477" s="61"/>
      <c r="H477" s="61"/>
      <c r="I477" s="64"/>
      <c r="J477" s="67"/>
      <c r="K477" s="65"/>
      <c r="L477" s="160"/>
      <c r="M477" s="160"/>
      <c r="N477" s="160"/>
      <c r="O477" s="161"/>
    </row>
    <row r="478" spans="1:15" ht="15" customHeight="1" x14ac:dyDescent="0.25">
      <c r="A478" s="154"/>
      <c r="B478" s="61"/>
      <c r="C478" s="63"/>
      <c r="D478" s="61"/>
      <c r="E478" s="61"/>
      <c r="F478" s="62"/>
      <c r="G478" s="61"/>
      <c r="H478" s="61"/>
      <c r="I478" s="64"/>
      <c r="J478" s="67"/>
      <c r="K478" s="65"/>
      <c r="L478" s="160"/>
      <c r="M478" s="160"/>
      <c r="N478" s="160"/>
      <c r="O478" s="162"/>
    </row>
    <row r="479" spans="1:15" ht="15" customHeight="1" x14ac:dyDescent="0.25">
      <c r="A479" s="154"/>
      <c r="B479" s="61"/>
      <c r="C479" s="63"/>
      <c r="D479" s="61"/>
      <c r="E479" s="61"/>
      <c r="F479" s="62"/>
      <c r="G479" s="61"/>
      <c r="H479" s="61"/>
      <c r="I479" s="64"/>
      <c r="J479" s="67"/>
      <c r="K479" s="65"/>
      <c r="L479" s="160"/>
      <c r="M479" s="160"/>
      <c r="N479" s="160"/>
      <c r="O479" s="161"/>
    </row>
    <row r="480" spans="1:15" ht="15" customHeight="1" x14ac:dyDescent="0.25">
      <c r="A480" s="154"/>
      <c r="B480" s="61"/>
      <c r="C480" s="63"/>
      <c r="D480" s="61"/>
      <c r="E480" s="61"/>
      <c r="F480" s="62"/>
      <c r="G480" s="61"/>
      <c r="H480" s="61"/>
      <c r="I480" s="64"/>
      <c r="J480" s="67"/>
      <c r="K480" s="65"/>
      <c r="L480" s="160"/>
      <c r="M480" s="160"/>
      <c r="N480" s="160"/>
      <c r="O480" s="162"/>
    </row>
    <row r="481" spans="1:15" ht="15" customHeight="1" x14ac:dyDescent="0.25">
      <c r="A481" s="154"/>
      <c r="B481" s="61"/>
      <c r="C481" s="63"/>
      <c r="D481" s="61"/>
      <c r="E481" s="61"/>
      <c r="F481" s="62"/>
      <c r="G481" s="61"/>
      <c r="H481" s="61"/>
      <c r="I481" s="64"/>
      <c r="J481" s="67"/>
      <c r="K481" s="65"/>
      <c r="L481" s="160"/>
      <c r="M481" s="160"/>
      <c r="N481" s="160"/>
      <c r="O481" s="161"/>
    </row>
    <row r="482" spans="1:15" ht="15" customHeight="1" x14ac:dyDescent="0.25">
      <c r="A482" s="154"/>
      <c r="B482" s="61"/>
      <c r="C482" s="63"/>
      <c r="D482" s="61"/>
      <c r="E482" s="61"/>
      <c r="F482" s="62"/>
      <c r="G482" s="61"/>
      <c r="H482" s="61"/>
      <c r="I482" s="64"/>
      <c r="J482" s="67"/>
      <c r="K482" s="65"/>
      <c r="L482" s="160"/>
      <c r="M482" s="160"/>
      <c r="N482" s="160"/>
      <c r="O482" s="162"/>
    </row>
    <row r="483" spans="1:15" ht="15" customHeight="1" x14ac:dyDescent="0.25">
      <c r="A483" s="154"/>
      <c r="B483" s="61"/>
      <c r="C483" s="63"/>
      <c r="D483" s="61"/>
      <c r="E483" s="61"/>
      <c r="F483" s="62"/>
      <c r="G483" s="61"/>
      <c r="H483" s="61"/>
      <c r="I483" s="64"/>
      <c r="J483" s="67"/>
      <c r="K483" s="65"/>
      <c r="L483" s="160"/>
      <c r="M483" s="160"/>
      <c r="N483" s="160"/>
      <c r="O483" s="161"/>
    </row>
    <row r="2448" spans="11:11" ht="15" customHeight="1" x14ac:dyDescent="0.25">
      <c r="K2448" s="165" t="s">
        <v>122</v>
      </c>
    </row>
  </sheetData>
  <autoFilter ref="A3:O483" xr:uid="{00000000-0001-0000-0300-000000000000}">
    <sortState xmlns:xlrd2="http://schemas.microsoft.com/office/spreadsheetml/2017/richdata2" ref="A4:O483">
      <sortCondition ref="A3:A483"/>
    </sortState>
  </autoFilter>
  <phoneticPr fontId="43" type="noConversion"/>
  <conditionalFormatting sqref="J4:J770 J789:J2448">
    <cfRule type="expression" dxfId="6" priority="6">
      <formula>AND(COUNTA($L4,$M4,$N4)&gt;0,$J4&lt;&gt;SUM($L4:$N4))</formula>
    </cfRule>
  </conditionalFormatting>
  <conditionalFormatting sqref="O4:O770 O789:O2448">
    <cfRule type="expression" dxfId="5" priority="7">
      <formula>AND($O4="",OR(COUNTA($L4,$M4,$N4)&gt;0,COUNTA($J4)&gt;0))</formula>
    </cfRule>
  </conditionalFormatting>
  <conditionalFormatting sqref="R4:R28">
    <cfRule type="duplicateValues" dxfId="4" priority="5"/>
  </conditionalFormatting>
  <conditionalFormatting sqref="U4:U21">
    <cfRule type="duplicateValues" dxfId="3" priority="1"/>
  </conditionalFormatting>
  <conditionalFormatting sqref="U22:U27">
    <cfRule type="duplicateValues" dxfId="2" priority="3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 i kolonne N." sqref="O789:O2448 O4:O770" xr:uid="{9F0E3301-2B1E-4BCA-AA79-7DDFB767D82E}">
      <formula1>OR($O4&lt;&gt;"",AND(COUNTA($L4,$M4,$N4)=0,COUNTA($J4)=0))</formula1>
    </dataValidation>
  </dataValidations>
  <pageMargins left="0.75" right="0.75" top="1" bottom="1" header="0.5" footer="0.5"/>
  <pageSetup orientation="portrait" horizontalDpi="1200" verticalDpi="1200" r:id="rId1"/>
  <legacy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K789:K2447 R4:R28 U4:U27 K4:K770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X118"/>
  <sheetViews>
    <sheetView showGridLines="0" zoomScale="85" zoomScaleNormal="85" workbookViewId="0">
      <pane ySplit="3" topLeftCell="A4" activePane="bottomLeft" state="frozen"/>
      <selection activeCell="J68" sqref="J68"/>
      <selection pane="bottomLeft" activeCell="R33" sqref="R33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19.42578125" customWidth="1"/>
    <col min="11" max="13" width="28" customWidth="1"/>
    <col min="14" max="14" width="30.140625" customWidth="1"/>
    <col min="15" max="15" width="34.42578125" bestFit="1" customWidth="1"/>
    <col min="18" max="18" width="19" customWidth="1"/>
    <col min="19" max="19" width="17.7109375" bestFit="1" customWidth="1"/>
    <col min="21" max="21" width="18.85546875" customWidth="1"/>
    <col min="22" max="22" width="9" bestFit="1" customWidth="1"/>
    <col min="23" max="23" width="9.5703125" bestFit="1" customWidth="1"/>
    <col min="24" max="24" width="9.42578125" bestFit="1" customWidth="1"/>
  </cols>
  <sheetData>
    <row r="1" spans="1:24" ht="26.1" customHeight="1" x14ac:dyDescent="0.25">
      <c r="A1" s="217" t="s">
        <v>123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98"/>
      <c r="O1" s="98"/>
    </row>
    <row r="2" spans="1:24" ht="40.700000000000003" customHeight="1" x14ac:dyDescent="0.25">
      <c r="A2" s="138" t="s">
        <v>85</v>
      </c>
      <c r="B2" s="138"/>
      <c r="C2" s="138"/>
      <c r="D2" s="138"/>
      <c r="E2" s="137"/>
      <c r="F2" s="137"/>
      <c r="G2" s="137"/>
      <c r="H2" s="137"/>
      <c r="I2" s="151" t="s">
        <v>745</v>
      </c>
      <c r="J2" s="151" t="s">
        <v>745</v>
      </c>
      <c r="K2" s="137"/>
      <c r="L2" s="151" t="s">
        <v>744</v>
      </c>
      <c r="M2" s="151" t="s">
        <v>744</v>
      </c>
      <c r="N2" s="137" t="s">
        <v>743</v>
      </c>
      <c r="O2" s="137"/>
      <c r="R2" s="108" t="s">
        <v>124</v>
      </c>
      <c r="S2" s="108"/>
      <c r="T2" s="108"/>
      <c r="U2" s="108"/>
      <c r="V2" s="108"/>
      <c r="W2" s="108"/>
      <c r="X2" s="108"/>
    </row>
    <row r="3" spans="1:24" ht="67.349999999999994" customHeight="1" x14ac:dyDescent="0.25">
      <c r="A3" s="39" t="s">
        <v>91</v>
      </c>
      <c r="B3" s="39" t="s">
        <v>92</v>
      </c>
      <c r="C3" s="39" t="s">
        <v>93</v>
      </c>
      <c r="D3" s="155" t="s">
        <v>94</v>
      </c>
      <c r="E3" s="155" t="s">
        <v>95</v>
      </c>
      <c r="F3" s="155" t="s">
        <v>97</v>
      </c>
      <c r="G3" s="155" t="s">
        <v>733</v>
      </c>
      <c r="H3" s="156" t="s">
        <v>770</v>
      </c>
      <c r="I3" s="155" t="s">
        <v>98</v>
      </c>
      <c r="J3" s="155" t="s">
        <v>125</v>
      </c>
      <c r="K3" s="157" t="s">
        <v>100</v>
      </c>
      <c r="L3" s="156" t="s">
        <v>126</v>
      </c>
      <c r="M3" s="155" t="s">
        <v>127</v>
      </c>
      <c r="N3" s="156" t="s">
        <v>128</v>
      </c>
      <c r="O3" s="156" t="s">
        <v>102</v>
      </c>
      <c r="R3" s="84"/>
      <c r="S3" s="84" t="s">
        <v>87</v>
      </c>
      <c r="V3" s="84" t="s">
        <v>88</v>
      </c>
      <c r="W3" s="84" t="s">
        <v>89</v>
      </c>
      <c r="X3" s="84" t="s">
        <v>90</v>
      </c>
    </row>
    <row r="4" spans="1:24" ht="15" customHeight="1" x14ac:dyDescent="0.25">
      <c r="A4" s="69" t="s">
        <v>795</v>
      </c>
      <c r="B4" s="69" t="s">
        <v>796</v>
      </c>
      <c r="C4" s="154" t="s">
        <v>797</v>
      </c>
      <c r="D4" s="66" t="s">
        <v>798</v>
      </c>
      <c r="E4" s="158" t="s">
        <v>799</v>
      </c>
      <c r="F4" s="158" t="s">
        <v>800</v>
      </c>
      <c r="G4" s="158" t="s">
        <v>801</v>
      </c>
      <c r="H4" s="158" t="s">
        <v>802</v>
      </c>
      <c r="I4" s="159">
        <v>39027</v>
      </c>
      <c r="J4" s="160"/>
      <c r="K4" s="87" t="s">
        <v>103</v>
      </c>
      <c r="L4" s="160"/>
      <c r="M4" s="160"/>
      <c r="N4" s="160"/>
      <c r="O4" s="161"/>
      <c r="R4" s="24" t="s">
        <v>103</v>
      </c>
      <c r="S4" s="40">
        <f t="shared" ref="S4:S27" si="0">IFERROR(SUMIF(K$4:K$20000,$R4,I$4:I$20000),0)+IFERROR(SUMIF(K$4:K$20000,$R4,J$4:J$20000),0)</f>
        <v>394530</v>
      </c>
      <c r="U4" s="24" t="s">
        <v>103</v>
      </c>
      <c r="V4" s="104">
        <f t="shared" ref="V4:V27" si="1">+IFERROR(SUMIF(K$4:K$20000,R4,L$4:L$20000),0)</f>
        <v>0</v>
      </c>
      <c r="W4" s="105">
        <f t="shared" ref="W4:W27" si="2">+IFERROR(SUMIF(K$4:K$20000,R4,M$4:M$20000),0)</f>
        <v>0</v>
      </c>
      <c r="X4" s="106">
        <f t="shared" ref="X4:X27" si="3">+IFERROR(SUMIF(K$4:K$20000,R4,N$4:N$20000),0)</f>
        <v>0</v>
      </c>
    </row>
    <row r="5" spans="1:24" ht="15" customHeight="1" x14ac:dyDescent="0.25">
      <c r="A5" s="69" t="s">
        <v>795</v>
      </c>
      <c r="B5" s="69" t="s">
        <v>796</v>
      </c>
      <c r="C5" s="154" t="s">
        <v>797</v>
      </c>
      <c r="D5" s="66" t="s">
        <v>798</v>
      </c>
      <c r="E5" s="158" t="s">
        <v>803</v>
      </c>
      <c r="F5" s="158" t="s">
        <v>804</v>
      </c>
      <c r="G5" s="158" t="s">
        <v>801</v>
      </c>
      <c r="H5" s="158" t="s">
        <v>802</v>
      </c>
      <c r="I5" s="159">
        <v>354464</v>
      </c>
      <c r="J5" s="160"/>
      <c r="K5" s="87" t="s">
        <v>103</v>
      </c>
      <c r="L5" s="160"/>
      <c r="M5" s="160"/>
      <c r="N5" s="160"/>
      <c r="O5" s="162"/>
      <c r="R5" s="36" t="s">
        <v>104</v>
      </c>
      <c r="S5" s="40">
        <f t="shared" si="0"/>
        <v>880149</v>
      </c>
      <c r="U5" s="36" t="s">
        <v>104</v>
      </c>
      <c r="V5" s="104">
        <f t="shared" si="1"/>
        <v>0</v>
      </c>
      <c r="W5" s="105">
        <f t="shared" si="2"/>
        <v>0</v>
      </c>
      <c r="X5" s="106">
        <f t="shared" si="3"/>
        <v>0</v>
      </c>
    </row>
    <row r="6" spans="1:24" ht="15" customHeight="1" x14ac:dyDescent="0.25">
      <c r="A6" s="69" t="s">
        <v>805</v>
      </c>
      <c r="B6" s="69" t="s">
        <v>806</v>
      </c>
      <c r="C6" s="154" t="s">
        <v>797</v>
      </c>
      <c r="D6" s="66" t="s">
        <v>798</v>
      </c>
      <c r="E6" s="158" t="s">
        <v>807</v>
      </c>
      <c r="F6" s="158" t="s">
        <v>808</v>
      </c>
      <c r="G6" s="158" t="s">
        <v>801</v>
      </c>
      <c r="H6" s="158" t="s">
        <v>802</v>
      </c>
      <c r="I6" s="159">
        <v>779125</v>
      </c>
      <c r="J6" s="160"/>
      <c r="K6" s="86" t="s">
        <v>104</v>
      </c>
      <c r="L6" s="160"/>
      <c r="M6" s="160"/>
      <c r="N6" s="160"/>
      <c r="O6" s="161"/>
      <c r="R6" s="24" t="s">
        <v>105</v>
      </c>
      <c r="S6" s="40">
        <f t="shared" si="0"/>
        <v>170578</v>
      </c>
      <c r="U6" s="24" t="s">
        <v>105</v>
      </c>
      <c r="V6" s="104">
        <f t="shared" si="1"/>
        <v>0</v>
      </c>
      <c r="W6" s="105">
        <f t="shared" si="2"/>
        <v>0</v>
      </c>
      <c r="X6" s="106">
        <f t="shared" si="3"/>
        <v>0</v>
      </c>
    </row>
    <row r="7" spans="1:24" ht="15" customHeight="1" x14ac:dyDescent="0.25">
      <c r="A7" s="69" t="s">
        <v>795</v>
      </c>
      <c r="B7" s="69" t="s">
        <v>796</v>
      </c>
      <c r="C7" s="154" t="s">
        <v>797</v>
      </c>
      <c r="D7" s="66" t="s">
        <v>798</v>
      </c>
      <c r="E7" s="158" t="s">
        <v>807</v>
      </c>
      <c r="F7" s="158" t="s">
        <v>808</v>
      </c>
      <c r="G7" s="158" t="s">
        <v>801</v>
      </c>
      <c r="H7" s="158" t="s">
        <v>802</v>
      </c>
      <c r="I7" s="163">
        <v>63390</v>
      </c>
      <c r="J7" s="160"/>
      <c r="K7" s="87" t="s">
        <v>104</v>
      </c>
      <c r="L7" s="160"/>
      <c r="M7" s="160"/>
      <c r="N7" s="160"/>
      <c r="O7" s="162"/>
      <c r="R7" s="36" t="s">
        <v>107</v>
      </c>
      <c r="S7" s="40">
        <f t="shared" si="0"/>
        <v>1315484</v>
      </c>
      <c r="U7" s="36" t="s">
        <v>107</v>
      </c>
      <c r="V7" s="104">
        <f t="shared" si="1"/>
        <v>0</v>
      </c>
      <c r="W7" s="105">
        <f t="shared" si="2"/>
        <v>0</v>
      </c>
      <c r="X7" s="106">
        <f t="shared" si="3"/>
        <v>0</v>
      </c>
    </row>
    <row r="8" spans="1:24" ht="15" customHeight="1" x14ac:dyDescent="0.25">
      <c r="A8" s="69" t="s">
        <v>809</v>
      </c>
      <c r="B8" s="69" t="s">
        <v>810</v>
      </c>
      <c r="C8" s="154" t="s">
        <v>797</v>
      </c>
      <c r="D8" s="66" t="s">
        <v>798</v>
      </c>
      <c r="E8" s="158" t="s">
        <v>807</v>
      </c>
      <c r="F8" s="158" t="s">
        <v>808</v>
      </c>
      <c r="G8" s="158" t="s">
        <v>811</v>
      </c>
      <c r="H8" s="158" t="s">
        <v>812</v>
      </c>
      <c r="I8" s="163">
        <v>49557</v>
      </c>
      <c r="J8" s="160"/>
      <c r="K8" s="87" t="s">
        <v>104</v>
      </c>
      <c r="L8" s="160"/>
      <c r="M8" s="160"/>
      <c r="N8" s="160"/>
      <c r="O8" s="161"/>
      <c r="R8" s="24" t="s">
        <v>108</v>
      </c>
      <c r="S8" s="40">
        <f t="shared" si="0"/>
        <v>287455</v>
      </c>
      <c r="U8" s="24" t="s">
        <v>108</v>
      </c>
      <c r="V8" s="104">
        <f t="shared" si="1"/>
        <v>0</v>
      </c>
      <c r="W8" s="105">
        <f t="shared" si="2"/>
        <v>0</v>
      </c>
      <c r="X8" s="106">
        <f t="shared" si="3"/>
        <v>0</v>
      </c>
    </row>
    <row r="9" spans="1:24" ht="15" customHeight="1" x14ac:dyDescent="0.25">
      <c r="A9" s="69" t="s">
        <v>809</v>
      </c>
      <c r="B9" s="69" t="s">
        <v>810</v>
      </c>
      <c r="C9" s="154" t="s">
        <v>797</v>
      </c>
      <c r="D9" s="66" t="s">
        <v>798</v>
      </c>
      <c r="E9" s="158" t="s">
        <v>807</v>
      </c>
      <c r="F9" s="158" t="s">
        <v>808</v>
      </c>
      <c r="G9" s="158" t="s">
        <v>801</v>
      </c>
      <c r="H9" s="158" t="s">
        <v>802</v>
      </c>
      <c r="I9" s="159">
        <v>-11923</v>
      </c>
      <c r="J9" s="160"/>
      <c r="K9" s="87" t="s">
        <v>104</v>
      </c>
      <c r="L9" s="160"/>
      <c r="M9" s="160"/>
      <c r="N9" s="160"/>
      <c r="O9" s="162"/>
      <c r="R9" s="36" t="s">
        <v>109</v>
      </c>
      <c r="S9" s="40">
        <f t="shared" si="0"/>
        <v>-3021</v>
      </c>
      <c r="U9" s="36" t="s">
        <v>109</v>
      </c>
      <c r="V9" s="104">
        <f t="shared" si="1"/>
        <v>0</v>
      </c>
      <c r="W9" s="105">
        <f t="shared" si="2"/>
        <v>0</v>
      </c>
      <c r="X9" s="106">
        <f t="shared" si="3"/>
        <v>0</v>
      </c>
    </row>
    <row r="10" spans="1:24" ht="15" customHeight="1" x14ac:dyDescent="0.25">
      <c r="A10" s="69" t="s">
        <v>805</v>
      </c>
      <c r="B10" s="69" t="s">
        <v>806</v>
      </c>
      <c r="C10" s="154" t="s">
        <v>797</v>
      </c>
      <c r="D10" s="66" t="s">
        <v>798</v>
      </c>
      <c r="E10" s="158" t="s">
        <v>813</v>
      </c>
      <c r="F10" s="158" t="s">
        <v>814</v>
      </c>
      <c r="G10" s="158" t="s">
        <v>801</v>
      </c>
      <c r="H10" s="158" t="s">
        <v>802</v>
      </c>
      <c r="I10" s="159">
        <v>816</v>
      </c>
      <c r="J10" s="160"/>
      <c r="K10" s="87" t="s">
        <v>103</v>
      </c>
      <c r="L10" s="160"/>
      <c r="M10" s="160"/>
      <c r="N10" s="160"/>
      <c r="O10" s="162"/>
      <c r="R10" s="24" t="s">
        <v>110</v>
      </c>
      <c r="S10" s="40">
        <f t="shared" si="0"/>
        <v>-287455</v>
      </c>
      <c r="U10" s="24" t="s">
        <v>110</v>
      </c>
      <c r="V10" s="104">
        <f t="shared" si="1"/>
        <v>0</v>
      </c>
      <c r="W10" s="105">
        <f t="shared" si="2"/>
        <v>0</v>
      </c>
      <c r="X10" s="106">
        <f t="shared" si="3"/>
        <v>0</v>
      </c>
    </row>
    <row r="11" spans="1:24" ht="15" customHeight="1" x14ac:dyDescent="0.25">
      <c r="A11" s="69" t="s">
        <v>795</v>
      </c>
      <c r="B11" s="69" t="s">
        <v>796</v>
      </c>
      <c r="C11" s="154" t="s">
        <v>797</v>
      </c>
      <c r="D11" s="66" t="s">
        <v>798</v>
      </c>
      <c r="E11" s="158" t="s">
        <v>813</v>
      </c>
      <c r="F11" s="158" t="s">
        <v>814</v>
      </c>
      <c r="G11" s="158" t="s">
        <v>801</v>
      </c>
      <c r="H11" s="158" t="s">
        <v>802</v>
      </c>
      <c r="I11" s="159">
        <v>223</v>
      </c>
      <c r="J11" s="160"/>
      <c r="K11" s="87" t="s">
        <v>103</v>
      </c>
      <c r="L11" s="160"/>
      <c r="M11" s="160"/>
      <c r="N11" s="160"/>
      <c r="O11" s="162"/>
      <c r="R11" s="36" t="s">
        <v>119</v>
      </c>
      <c r="S11" s="40">
        <f t="shared" si="0"/>
        <v>0</v>
      </c>
      <c r="U11" s="36" t="s">
        <v>119</v>
      </c>
      <c r="V11" s="104">
        <f t="shared" si="1"/>
        <v>0</v>
      </c>
      <c r="W11" s="105">
        <f t="shared" si="2"/>
        <v>0</v>
      </c>
      <c r="X11" s="106">
        <f t="shared" si="3"/>
        <v>0</v>
      </c>
    </row>
    <row r="12" spans="1:24" ht="15" customHeight="1" x14ac:dyDescent="0.25">
      <c r="A12" s="69" t="s">
        <v>805</v>
      </c>
      <c r="B12" s="69" t="s">
        <v>806</v>
      </c>
      <c r="C12" s="154" t="s">
        <v>797</v>
      </c>
      <c r="D12" s="66" t="s">
        <v>798</v>
      </c>
      <c r="E12" s="158" t="s">
        <v>815</v>
      </c>
      <c r="F12" s="158" t="s">
        <v>141</v>
      </c>
      <c r="G12" s="158" t="s">
        <v>801</v>
      </c>
      <c r="H12" s="158" t="s">
        <v>802</v>
      </c>
      <c r="I12" s="159">
        <v>108827</v>
      </c>
      <c r="J12" s="160"/>
      <c r="K12" s="87" t="s">
        <v>105</v>
      </c>
      <c r="L12" s="160"/>
      <c r="M12" s="160"/>
      <c r="N12" s="160"/>
      <c r="O12" s="161"/>
      <c r="R12" s="24" t="s">
        <v>755</v>
      </c>
      <c r="S12" s="40">
        <f t="shared" si="0"/>
        <v>0</v>
      </c>
      <c r="U12" s="24" t="s">
        <v>755</v>
      </c>
      <c r="V12" s="104">
        <f t="shared" si="1"/>
        <v>0</v>
      </c>
      <c r="W12" s="105">
        <f t="shared" si="2"/>
        <v>0</v>
      </c>
      <c r="X12" s="106">
        <f t="shared" si="3"/>
        <v>0</v>
      </c>
    </row>
    <row r="13" spans="1:24" ht="15" customHeight="1" x14ac:dyDescent="0.25">
      <c r="A13" s="69" t="s">
        <v>795</v>
      </c>
      <c r="B13" s="69" t="s">
        <v>796</v>
      </c>
      <c r="C13" s="154" t="s">
        <v>797</v>
      </c>
      <c r="D13" s="66" t="s">
        <v>798</v>
      </c>
      <c r="E13" s="158" t="s">
        <v>815</v>
      </c>
      <c r="F13" s="158" t="s">
        <v>141</v>
      </c>
      <c r="G13" s="158" t="s">
        <v>801</v>
      </c>
      <c r="H13" s="158" t="s">
        <v>802</v>
      </c>
      <c r="I13" s="159">
        <v>63432</v>
      </c>
      <c r="J13" s="160"/>
      <c r="K13" s="87" t="s">
        <v>105</v>
      </c>
      <c r="L13" s="160"/>
      <c r="M13" s="160"/>
      <c r="N13" s="160"/>
      <c r="O13" s="162"/>
      <c r="R13" s="36" t="s">
        <v>111</v>
      </c>
      <c r="S13" s="40">
        <f t="shared" si="0"/>
        <v>0</v>
      </c>
      <c r="U13" s="36" t="s">
        <v>111</v>
      </c>
      <c r="V13" s="104">
        <f t="shared" si="1"/>
        <v>0</v>
      </c>
      <c r="W13" s="105">
        <f t="shared" si="2"/>
        <v>0</v>
      </c>
      <c r="X13" s="106">
        <f t="shared" si="3"/>
        <v>0</v>
      </c>
    </row>
    <row r="14" spans="1:24" ht="15" customHeight="1" x14ac:dyDescent="0.25">
      <c r="A14" s="69" t="s">
        <v>809</v>
      </c>
      <c r="B14" s="69" t="s">
        <v>810</v>
      </c>
      <c r="C14" s="154" t="s">
        <v>797</v>
      </c>
      <c r="D14" s="66" t="s">
        <v>798</v>
      </c>
      <c r="E14" s="158" t="s">
        <v>815</v>
      </c>
      <c r="F14" s="158" t="s">
        <v>141</v>
      </c>
      <c r="G14" s="158" t="s">
        <v>801</v>
      </c>
      <c r="H14" s="158" t="s">
        <v>802</v>
      </c>
      <c r="I14" s="159">
        <v>-1681</v>
      </c>
      <c r="J14" s="160"/>
      <c r="K14" s="87" t="s">
        <v>105</v>
      </c>
      <c r="L14" s="160"/>
      <c r="M14" s="160"/>
      <c r="N14" s="160"/>
      <c r="O14" s="161"/>
      <c r="R14" s="24" t="s">
        <v>758</v>
      </c>
      <c r="S14" s="40">
        <f t="shared" si="0"/>
        <v>0</v>
      </c>
      <c r="U14" s="24" t="s">
        <v>758</v>
      </c>
      <c r="V14" s="104">
        <f t="shared" si="1"/>
        <v>0</v>
      </c>
      <c r="W14" s="105">
        <f t="shared" si="2"/>
        <v>0</v>
      </c>
      <c r="X14" s="106">
        <f t="shared" si="3"/>
        <v>0</v>
      </c>
    </row>
    <row r="15" spans="1:24" ht="15" customHeight="1" x14ac:dyDescent="0.25">
      <c r="A15" s="69" t="s">
        <v>816</v>
      </c>
      <c r="B15" s="69" t="s">
        <v>817</v>
      </c>
      <c r="C15" s="154" t="s">
        <v>797</v>
      </c>
      <c r="D15" s="66" t="s">
        <v>798</v>
      </c>
      <c r="E15" s="158" t="s">
        <v>818</v>
      </c>
      <c r="F15" s="158" t="s">
        <v>819</v>
      </c>
      <c r="G15" s="158" t="s">
        <v>820</v>
      </c>
      <c r="H15" s="158" t="s">
        <v>821</v>
      </c>
      <c r="I15" s="159">
        <v>1350</v>
      </c>
      <c r="J15" s="160"/>
      <c r="K15" s="87" t="s">
        <v>113</v>
      </c>
      <c r="L15" s="160"/>
      <c r="M15" s="160"/>
      <c r="N15" s="160"/>
      <c r="O15" s="162" t="s">
        <v>821</v>
      </c>
      <c r="R15" s="36" t="s">
        <v>106</v>
      </c>
      <c r="S15" s="40">
        <f t="shared" si="0"/>
        <v>9383</v>
      </c>
      <c r="U15" s="36" t="s">
        <v>106</v>
      </c>
      <c r="V15" s="104">
        <f t="shared" si="1"/>
        <v>0</v>
      </c>
      <c r="W15" s="105">
        <f t="shared" si="2"/>
        <v>0</v>
      </c>
      <c r="X15" s="106">
        <f t="shared" si="3"/>
        <v>0</v>
      </c>
    </row>
    <row r="16" spans="1:24" ht="15" customHeight="1" x14ac:dyDescent="0.25">
      <c r="A16" s="69" t="s">
        <v>822</v>
      </c>
      <c r="B16" s="69" t="s">
        <v>823</v>
      </c>
      <c r="C16" s="154" t="s">
        <v>797</v>
      </c>
      <c r="D16" s="66" t="s">
        <v>798</v>
      </c>
      <c r="E16" s="158" t="s">
        <v>824</v>
      </c>
      <c r="F16" s="158" t="s">
        <v>825</v>
      </c>
      <c r="G16" s="158" t="s">
        <v>801</v>
      </c>
      <c r="H16" s="158" t="s">
        <v>802</v>
      </c>
      <c r="I16" s="159">
        <v>12721</v>
      </c>
      <c r="J16" s="160"/>
      <c r="K16" s="87" t="s">
        <v>107</v>
      </c>
      <c r="L16" s="160"/>
      <c r="M16" s="160"/>
      <c r="N16" s="160"/>
      <c r="O16" s="161"/>
      <c r="R16" s="82" t="s">
        <v>114</v>
      </c>
      <c r="S16" s="40">
        <f t="shared" si="0"/>
        <v>0</v>
      </c>
      <c r="U16" s="82" t="s">
        <v>114</v>
      </c>
      <c r="V16" s="104">
        <f t="shared" si="1"/>
        <v>0</v>
      </c>
      <c r="W16" s="105">
        <f t="shared" si="2"/>
        <v>0</v>
      </c>
      <c r="X16" s="106">
        <f t="shared" si="3"/>
        <v>0</v>
      </c>
    </row>
    <row r="17" spans="1:24" ht="15" customHeight="1" x14ac:dyDescent="0.25">
      <c r="A17" s="69" t="s">
        <v>822</v>
      </c>
      <c r="B17" s="69" t="s">
        <v>823</v>
      </c>
      <c r="C17" s="154" t="s">
        <v>797</v>
      </c>
      <c r="D17" s="66" t="s">
        <v>798</v>
      </c>
      <c r="E17" s="158" t="s">
        <v>826</v>
      </c>
      <c r="F17" s="158" t="s">
        <v>827</v>
      </c>
      <c r="G17" s="158" t="s">
        <v>801</v>
      </c>
      <c r="H17" s="158" t="s">
        <v>802</v>
      </c>
      <c r="I17" s="159">
        <v>944</v>
      </c>
      <c r="J17" s="160"/>
      <c r="K17" s="87" t="s">
        <v>107</v>
      </c>
      <c r="L17" s="160"/>
      <c r="M17" s="160"/>
      <c r="N17" s="160"/>
      <c r="O17" s="161"/>
      <c r="R17" s="83" t="s">
        <v>115</v>
      </c>
      <c r="S17" s="40">
        <f t="shared" si="0"/>
        <v>0</v>
      </c>
      <c r="U17" s="83" t="s">
        <v>115</v>
      </c>
      <c r="V17" s="104">
        <f t="shared" si="1"/>
        <v>0</v>
      </c>
      <c r="W17" s="105">
        <f t="shared" si="2"/>
        <v>0</v>
      </c>
      <c r="X17" s="106">
        <f t="shared" si="3"/>
        <v>0</v>
      </c>
    </row>
    <row r="18" spans="1:24" ht="15" customHeight="1" x14ac:dyDescent="0.25">
      <c r="A18" s="69" t="s">
        <v>822</v>
      </c>
      <c r="B18" s="69" t="s">
        <v>823</v>
      </c>
      <c r="C18" s="154" t="s">
        <v>797</v>
      </c>
      <c r="D18" s="66" t="s">
        <v>798</v>
      </c>
      <c r="E18" s="158" t="s">
        <v>828</v>
      </c>
      <c r="F18" s="158" t="s">
        <v>829</v>
      </c>
      <c r="G18" s="158" t="s">
        <v>801</v>
      </c>
      <c r="H18" s="158" t="s">
        <v>802</v>
      </c>
      <c r="I18" s="159">
        <v>8942</v>
      </c>
      <c r="J18" s="160"/>
      <c r="K18" s="87" t="s">
        <v>107</v>
      </c>
      <c r="L18" s="160"/>
      <c r="M18" s="160"/>
      <c r="N18" s="160"/>
      <c r="O18" s="161"/>
      <c r="R18" s="83" t="s">
        <v>116</v>
      </c>
      <c r="S18" s="40">
        <f t="shared" si="0"/>
        <v>0</v>
      </c>
      <c r="U18" s="83" t="s">
        <v>116</v>
      </c>
      <c r="V18" s="104">
        <f t="shared" si="1"/>
        <v>0</v>
      </c>
      <c r="W18" s="105">
        <f t="shared" si="2"/>
        <v>0</v>
      </c>
      <c r="X18" s="106">
        <f t="shared" si="3"/>
        <v>0</v>
      </c>
    </row>
    <row r="19" spans="1:24" ht="15" customHeight="1" x14ac:dyDescent="0.25">
      <c r="A19" s="69" t="s">
        <v>822</v>
      </c>
      <c r="B19" s="69" t="s">
        <v>823</v>
      </c>
      <c r="C19" s="154" t="s">
        <v>797</v>
      </c>
      <c r="D19" s="66" t="s">
        <v>798</v>
      </c>
      <c r="E19" s="158" t="s">
        <v>830</v>
      </c>
      <c r="F19" s="158" t="s">
        <v>831</v>
      </c>
      <c r="G19" s="158" t="s">
        <v>801</v>
      </c>
      <c r="H19" s="158" t="s">
        <v>802</v>
      </c>
      <c r="I19" s="159">
        <v>7380</v>
      </c>
      <c r="J19" s="160"/>
      <c r="K19" s="87" t="s">
        <v>107</v>
      </c>
      <c r="L19" s="160"/>
      <c r="M19" s="160"/>
      <c r="N19" s="160"/>
      <c r="O19" s="161"/>
      <c r="R19" s="83" t="s">
        <v>757</v>
      </c>
      <c r="S19" s="40">
        <f t="shared" si="0"/>
        <v>1559816</v>
      </c>
      <c r="U19" s="83" t="s">
        <v>757</v>
      </c>
      <c r="V19" s="104">
        <f t="shared" si="1"/>
        <v>0</v>
      </c>
      <c r="W19" s="105">
        <f t="shared" si="2"/>
        <v>0</v>
      </c>
      <c r="X19" s="106">
        <f t="shared" si="3"/>
        <v>0</v>
      </c>
    </row>
    <row r="20" spans="1:24" ht="15" customHeight="1" x14ac:dyDescent="0.25">
      <c r="A20" s="69" t="s">
        <v>832</v>
      </c>
      <c r="B20" s="69" t="s">
        <v>833</v>
      </c>
      <c r="C20" s="154" t="s">
        <v>797</v>
      </c>
      <c r="D20" s="66" t="s">
        <v>798</v>
      </c>
      <c r="E20" s="158" t="s">
        <v>834</v>
      </c>
      <c r="F20" s="158" t="s">
        <v>835</v>
      </c>
      <c r="G20" s="158" t="s">
        <v>801</v>
      </c>
      <c r="H20" s="158" t="s">
        <v>802</v>
      </c>
      <c r="I20" s="159">
        <v>29</v>
      </c>
      <c r="J20" s="160"/>
      <c r="K20" s="87" t="s">
        <v>107</v>
      </c>
      <c r="L20" s="160"/>
      <c r="M20" s="160"/>
      <c r="N20" s="160"/>
      <c r="O20" s="161"/>
      <c r="R20" s="83" t="s">
        <v>112</v>
      </c>
      <c r="S20" s="40">
        <f t="shared" si="0"/>
        <v>0</v>
      </c>
      <c r="U20" s="83" t="s">
        <v>112</v>
      </c>
      <c r="V20" s="104">
        <f t="shared" si="1"/>
        <v>0</v>
      </c>
      <c r="W20" s="105">
        <f t="shared" si="2"/>
        <v>0</v>
      </c>
      <c r="X20" s="106">
        <f t="shared" si="3"/>
        <v>0</v>
      </c>
    </row>
    <row r="21" spans="1:24" ht="15" customHeight="1" x14ac:dyDescent="0.25">
      <c r="A21" s="69" t="s">
        <v>822</v>
      </c>
      <c r="B21" s="69" t="s">
        <v>823</v>
      </c>
      <c r="C21" s="154" t="s">
        <v>797</v>
      </c>
      <c r="D21" s="66" t="s">
        <v>798</v>
      </c>
      <c r="E21" s="158" t="s">
        <v>836</v>
      </c>
      <c r="F21" s="158" t="s">
        <v>837</v>
      </c>
      <c r="G21" s="158" t="s">
        <v>801</v>
      </c>
      <c r="H21" s="158" t="s">
        <v>802</v>
      </c>
      <c r="I21" s="159">
        <v>13462</v>
      </c>
      <c r="J21" s="160"/>
      <c r="K21" s="87" t="s">
        <v>107</v>
      </c>
      <c r="L21" s="160"/>
      <c r="M21" s="160"/>
      <c r="N21" s="160"/>
      <c r="O21" s="161"/>
      <c r="R21" s="83" t="s">
        <v>113</v>
      </c>
      <c r="S21" s="40">
        <f t="shared" si="0"/>
        <v>1350</v>
      </c>
      <c r="U21" s="83" t="s">
        <v>113</v>
      </c>
      <c r="V21" s="104">
        <f t="shared" si="1"/>
        <v>0</v>
      </c>
      <c r="W21" s="105">
        <f t="shared" si="2"/>
        <v>0</v>
      </c>
      <c r="X21" s="106">
        <f t="shared" si="3"/>
        <v>0</v>
      </c>
    </row>
    <row r="22" spans="1:24" ht="15" customHeight="1" x14ac:dyDescent="0.25">
      <c r="A22" s="69" t="s">
        <v>805</v>
      </c>
      <c r="B22" s="69" t="s">
        <v>806</v>
      </c>
      <c r="C22" s="154" t="s">
        <v>797</v>
      </c>
      <c r="D22" s="66" t="s">
        <v>798</v>
      </c>
      <c r="E22" s="158" t="s">
        <v>838</v>
      </c>
      <c r="F22" s="158" t="s">
        <v>839</v>
      </c>
      <c r="G22" s="158" t="s">
        <v>801</v>
      </c>
      <c r="H22" s="158" t="s">
        <v>802</v>
      </c>
      <c r="I22" s="159">
        <v>10105</v>
      </c>
      <c r="J22" s="160"/>
      <c r="K22" s="87" t="s">
        <v>107</v>
      </c>
      <c r="L22" s="160"/>
      <c r="M22" s="160"/>
      <c r="N22" s="160"/>
      <c r="O22" s="161"/>
      <c r="R22" s="83"/>
      <c r="S22" s="40">
        <f t="shared" si="0"/>
        <v>0</v>
      </c>
      <c r="U22" s="83"/>
      <c r="V22" s="104">
        <f t="shared" si="1"/>
        <v>0</v>
      </c>
      <c r="W22" s="105">
        <f t="shared" si="2"/>
        <v>0</v>
      </c>
      <c r="X22" s="106">
        <f t="shared" si="3"/>
        <v>0</v>
      </c>
    </row>
    <row r="23" spans="1:24" ht="15" customHeight="1" x14ac:dyDescent="0.25">
      <c r="A23" s="69" t="s">
        <v>822</v>
      </c>
      <c r="B23" s="69" t="s">
        <v>823</v>
      </c>
      <c r="C23" s="154" t="s">
        <v>797</v>
      </c>
      <c r="D23" s="66" t="s">
        <v>798</v>
      </c>
      <c r="E23" s="158" t="s">
        <v>838</v>
      </c>
      <c r="F23" s="158" t="s">
        <v>839</v>
      </c>
      <c r="G23" s="158" t="s">
        <v>801</v>
      </c>
      <c r="H23" s="158" t="s">
        <v>802</v>
      </c>
      <c r="I23" s="159">
        <v>55413</v>
      </c>
      <c r="J23" s="160"/>
      <c r="K23" s="87" t="s">
        <v>107</v>
      </c>
      <c r="L23" s="160"/>
      <c r="M23" s="160"/>
      <c r="N23" s="160"/>
      <c r="O23" s="161"/>
      <c r="R23" s="83"/>
      <c r="S23" s="40">
        <f t="shared" si="0"/>
        <v>0</v>
      </c>
      <c r="U23" s="83"/>
      <c r="V23" s="104">
        <f t="shared" si="1"/>
        <v>0</v>
      </c>
      <c r="W23" s="105">
        <f t="shared" si="2"/>
        <v>0</v>
      </c>
      <c r="X23" s="106">
        <f t="shared" si="3"/>
        <v>0</v>
      </c>
    </row>
    <row r="24" spans="1:24" ht="15" customHeight="1" x14ac:dyDescent="0.25">
      <c r="A24" s="69" t="s">
        <v>822</v>
      </c>
      <c r="B24" s="69" t="s">
        <v>823</v>
      </c>
      <c r="C24" s="154" t="s">
        <v>797</v>
      </c>
      <c r="D24" s="66" t="s">
        <v>798</v>
      </c>
      <c r="E24" s="158" t="s">
        <v>840</v>
      </c>
      <c r="F24" s="158" t="s">
        <v>841</v>
      </c>
      <c r="G24" s="158" t="s">
        <v>801</v>
      </c>
      <c r="H24" s="158" t="s">
        <v>802</v>
      </c>
      <c r="I24" s="159">
        <v>23393</v>
      </c>
      <c r="J24" s="160"/>
      <c r="K24" s="87" t="s">
        <v>107</v>
      </c>
      <c r="L24" s="160"/>
      <c r="M24" s="160"/>
      <c r="N24" s="160"/>
      <c r="O24" s="161"/>
      <c r="R24" s="83"/>
      <c r="S24" s="40">
        <f t="shared" si="0"/>
        <v>0</v>
      </c>
      <c r="U24" s="83"/>
      <c r="V24" s="104">
        <f t="shared" si="1"/>
        <v>0</v>
      </c>
      <c r="W24" s="105">
        <f t="shared" si="2"/>
        <v>0</v>
      </c>
      <c r="X24" s="106">
        <f t="shared" si="3"/>
        <v>0</v>
      </c>
    </row>
    <row r="25" spans="1:24" ht="15" customHeight="1" x14ac:dyDescent="0.25">
      <c r="A25" s="69" t="s">
        <v>822</v>
      </c>
      <c r="B25" s="69" t="s">
        <v>823</v>
      </c>
      <c r="C25" s="154" t="s">
        <v>797</v>
      </c>
      <c r="D25" s="66" t="s">
        <v>798</v>
      </c>
      <c r="E25" s="158" t="s">
        <v>842</v>
      </c>
      <c r="F25" s="158" t="s">
        <v>843</v>
      </c>
      <c r="G25" s="158" t="s">
        <v>801</v>
      </c>
      <c r="H25" s="158" t="s">
        <v>802</v>
      </c>
      <c r="I25" s="159">
        <v>43237</v>
      </c>
      <c r="J25" s="160"/>
      <c r="K25" s="87" t="s">
        <v>107</v>
      </c>
      <c r="L25" s="160"/>
      <c r="M25" s="160"/>
      <c r="N25" s="160"/>
      <c r="O25" s="161"/>
      <c r="R25" s="83"/>
      <c r="S25" s="40">
        <f t="shared" si="0"/>
        <v>0</v>
      </c>
      <c r="U25" s="83"/>
      <c r="V25" s="104">
        <f t="shared" si="1"/>
        <v>0</v>
      </c>
      <c r="W25" s="105">
        <f t="shared" si="2"/>
        <v>0</v>
      </c>
      <c r="X25" s="106">
        <f t="shared" si="3"/>
        <v>0</v>
      </c>
    </row>
    <row r="26" spans="1:24" ht="15" customHeight="1" x14ac:dyDescent="0.25">
      <c r="A26" s="69" t="s">
        <v>844</v>
      </c>
      <c r="B26" s="69" t="s">
        <v>845</v>
      </c>
      <c r="C26" s="154" t="s">
        <v>797</v>
      </c>
      <c r="D26" s="66" t="s">
        <v>798</v>
      </c>
      <c r="E26" s="158" t="s">
        <v>846</v>
      </c>
      <c r="F26" s="158" t="s">
        <v>847</v>
      </c>
      <c r="G26" s="158" t="s">
        <v>801</v>
      </c>
      <c r="H26" s="158" t="s">
        <v>802</v>
      </c>
      <c r="I26" s="159">
        <v>248502</v>
      </c>
      <c r="J26" s="160"/>
      <c r="K26" s="87" t="s">
        <v>107</v>
      </c>
      <c r="L26" s="160"/>
      <c r="M26" s="160"/>
      <c r="N26" s="160"/>
      <c r="O26" s="161"/>
      <c r="R26" s="83"/>
      <c r="S26" s="40">
        <f t="shared" si="0"/>
        <v>0</v>
      </c>
      <c r="U26" s="83"/>
      <c r="V26" s="104">
        <f t="shared" si="1"/>
        <v>0</v>
      </c>
      <c r="W26" s="105">
        <f t="shared" si="2"/>
        <v>0</v>
      </c>
      <c r="X26" s="106">
        <f t="shared" si="3"/>
        <v>0</v>
      </c>
    </row>
    <row r="27" spans="1:24" ht="15" customHeight="1" x14ac:dyDescent="0.25">
      <c r="A27" s="69" t="s">
        <v>816</v>
      </c>
      <c r="B27" s="69" t="s">
        <v>817</v>
      </c>
      <c r="C27" s="154" t="s">
        <v>797</v>
      </c>
      <c r="D27" s="66" t="s">
        <v>798</v>
      </c>
      <c r="E27" s="158" t="s">
        <v>846</v>
      </c>
      <c r="F27" s="158" t="s">
        <v>847</v>
      </c>
      <c r="G27" s="158" t="s">
        <v>801</v>
      </c>
      <c r="H27" s="158" t="s">
        <v>802</v>
      </c>
      <c r="I27" s="159">
        <v>149110</v>
      </c>
      <c r="J27" s="160"/>
      <c r="K27" s="87" t="s">
        <v>107</v>
      </c>
      <c r="L27" s="160"/>
      <c r="M27" s="160"/>
      <c r="N27" s="160"/>
      <c r="O27" s="161"/>
      <c r="R27" s="83"/>
      <c r="S27" s="40">
        <f t="shared" si="0"/>
        <v>0</v>
      </c>
      <c r="U27" s="83"/>
      <c r="V27" s="104">
        <f t="shared" si="1"/>
        <v>0</v>
      </c>
      <c r="W27" s="105">
        <f t="shared" si="2"/>
        <v>0</v>
      </c>
      <c r="X27" s="106">
        <f t="shared" si="3"/>
        <v>0</v>
      </c>
    </row>
    <row r="28" spans="1:24" x14ac:dyDescent="0.25">
      <c r="A28" s="69" t="s">
        <v>848</v>
      </c>
      <c r="B28" s="69" t="s">
        <v>849</v>
      </c>
      <c r="C28" s="154" t="s">
        <v>797</v>
      </c>
      <c r="D28" s="66" t="s">
        <v>798</v>
      </c>
      <c r="E28" s="158" t="s">
        <v>846</v>
      </c>
      <c r="F28" s="158" t="s">
        <v>847</v>
      </c>
      <c r="G28" s="158" t="s">
        <v>850</v>
      </c>
      <c r="H28" s="158" t="s">
        <v>851</v>
      </c>
      <c r="I28" s="159">
        <v>504</v>
      </c>
      <c r="J28" s="160"/>
      <c r="K28" s="87" t="s">
        <v>107</v>
      </c>
      <c r="L28" s="160"/>
      <c r="M28" s="160"/>
      <c r="N28" s="160"/>
      <c r="O28" s="161"/>
    </row>
    <row r="29" spans="1:24" x14ac:dyDescent="0.25">
      <c r="A29" s="69" t="s">
        <v>848</v>
      </c>
      <c r="B29" s="69" t="s">
        <v>849</v>
      </c>
      <c r="C29" s="154" t="s">
        <v>797</v>
      </c>
      <c r="D29" s="66" t="s">
        <v>798</v>
      </c>
      <c r="E29" s="158" t="s">
        <v>846</v>
      </c>
      <c r="F29" s="158" t="s">
        <v>847</v>
      </c>
      <c r="G29" s="158" t="s">
        <v>801</v>
      </c>
      <c r="H29" s="158" t="s">
        <v>802</v>
      </c>
      <c r="I29" s="159">
        <v>37149</v>
      </c>
      <c r="J29" s="160"/>
      <c r="K29" s="87" t="s">
        <v>107</v>
      </c>
      <c r="L29" s="160"/>
      <c r="M29" s="160"/>
      <c r="N29" s="160"/>
      <c r="O29" s="161"/>
    </row>
    <row r="30" spans="1:24" x14ac:dyDescent="0.25">
      <c r="A30" s="69" t="s">
        <v>852</v>
      </c>
      <c r="B30" s="69" t="s">
        <v>853</v>
      </c>
      <c r="C30" s="154" t="s">
        <v>797</v>
      </c>
      <c r="D30" s="66" t="s">
        <v>798</v>
      </c>
      <c r="E30" s="158" t="s">
        <v>846</v>
      </c>
      <c r="F30" s="158" t="s">
        <v>847</v>
      </c>
      <c r="G30" s="158" t="s">
        <v>801</v>
      </c>
      <c r="H30" s="158" t="s">
        <v>802</v>
      </c>
      <c r="I30" s="159">
        <v>48959</v>
      </c>
      <c r="J30" s="160"/>
      <c r="K30" s="87" t="s">
        <v>107</v>
      </c>
      <c r="L30" s="160"/>
      <c r="M30" s="160"/>
      <c r="N30" s="160"/>
      <c r="O30" s="161"/>
    </row>
    <row r="31" spans="1:24" x14ac:dyDescent="0.25">
      <c r="A31" s="69" t="s">
        <v>854</v>
      </c>
      <c r="B31" s="69" t="s">
        <v>855</v>
      </c>
      <c r="C31" s="154" t="s">
        <v>797</v>
      </c>
      <c r="D31" s="66" t="s">
        <v>798</v>
      </c>
      <c r="E31" s="158" t="s">
        <v>846</v>
      </c>
      <c r="F31" s="158" t="s">
        <v>847</v>
      </c>
      <c r="G31" s="158" t="s">
        <v>801</v>
      </c>
      <c r="H31" s="158" t="s">
        <v>802</v>
      </c>
      <c r="I31" s="159">
        <v>18842</v>
      </c>
      <c r="J31" s="160"/>
      <c r="K31" s="87" t="s">
        <v>107</v>
      </c>
      <c r="L31" s="160"/>
      <c r="M31" s="160"/>
      <c r="N31" s="160"/>
      <c r="O31" s="161"/>
    </row>
    <row r="32" spans="1:24" x14ac:dyDescent="0.25">
      <c r="A32" s="69" t="s">
        <v>805</v>
      </c>
      <c r="B32" s="69" t="s">
        <v>806</v>
      </c>
      <c r="C32" s="154" t="s">
        <v>797</v>
      </c>
      <c r="D32" s="66" t="s">
        <v>798</v>
      </c>
      <c r="E32" s="158" t="s">
        <v>856</v>
      </c>
      <c r="F32" s="158" t="s">
        <v>857</v>
      </c>
      <c r="G32" s="158" t="s">
        <v>801</v>
      </c>
      <c r="H32" s="158" t="s">
        <v>802</v>
      </c>
      <c r="I32" s="159">
        <v>26417</v>
      </c>
      <c r="J32" s="160"/>
      <c r="K32" s="87" t="s">
        <v>107</v>
      </c>
      <c r="L32" s="160"/>
      <c r="M32" s="160"/>
      <c r="N32" s="160"/>
      <c r="O32" s="161"/>
    </row>
    <row r="33" spans="1:15" x14ac:dyDescent="0.25">
      <c r="A33" s="69" t="s">
        <v>848</v>
      </c>
      <c r="B33" s="69" t="s">
        <v>849</v>
      </c>
      <c r="C33" s="154" t="s">
        <v>797</v>
      </c>
      <c r="D33" s="66" t="s">
        <v>798</v>
      </c>
      <c r="E33" s="158" t="s">
        <v>858</v>
      </c>
      <c r="F33" s="158" t="s">
        <v>859</v>
      </c>
      <c r="G33" s="158" t="s">
        <v>801</v>
      </c>
      <c r="H33" s="158" t="s">
        <v>802</v>
      </c>
      <c r="I33" s="159">
        <v>150000</v>
      </c>
      <c r="J33" s="160"/>
      <c r="K33" s="87" t="s">
        <v>757</v>
      </c>
      <c r="L33" s="160"/>
      <c r="M33" s="160"/>
      <c r="N33" s="160"/>
      <c r="O33" s="161" t="s">
        <v>860</v>
      </c>
    </row>
    <row r="34" spans="1:15" x14ac:dyDescent="0.25">
      <c r="A34" s="69" t="s">
        <v>854</v>
      </c>
      <c r="B34" s="69" t="s">
        <v>855</v>
      </c>
      <c r="C34" s="154" t="s">
        <v>797</v>
      </c>
      <c r="D34" s="66" t="s">
        <v>798</v>
      </c>
      <c r="E34" s="158" t="s">
        <v>858</v>
      </c>
      <c r="F34" s="158" t="s">
        <v>859</v>
      </c>
      <c r="G34" s="158" t="s">
        <v>801</v>
      </c>
      <c r="H34" s="158" t="s">
        <v>802</v>
      </c>
      <c r="I34" s="159">
        <v>125000</v>
      </c>
      <c r="J34" s="160"/>
      <c r="K34" s="87" t="s">
        <v>757</v>
      </c>
      <c r="L34" s="160"/>
      <c r="M34" s="160"/>
      <c r="N34" s="160"/>
      <c r="O34" s="161" t="s">
        <v>860</v>
      </c>
    </row>
    <row r="35" spans="1:15" x14ac:dyDescent="0.25">
      <c r="A35" s="69" t="s">
        <v>844</v>
      </c>
      <c r="B35" s="69" t="s">
        <v>845</v>
      </c>
      <c r="C35" s="154" t="s">
        <v>797</v>
      </c>
      <c r="D35" s="66" t="s">
        <v>798</v>
      </c>
      <c r="E35" s="158" t="s">
        <v>861</v>
      </c>
      <c r="F35" s="158" t="s">
        <v>862</v>
      </c>
      <c r="G35" s="158" t="s">
        <v>801</v>
      </c>
      <c r="H35" s="158" t="s">
        <v>802</v>
      </c>
      <c r="I35" s="159">
        <v>94271</v>
      </c>
      <c r="J35" s="160"/>
      <c r="K35" s="87" t="s">
        <v>107</v>
      </c>
      <c r="L35" s="160"/>
      <c r="M35" s="160"/>
      <c r="N35" s="160"/>
      <c r="O35" s="161"/>
    </row>
    <row r="36" spans="1:15" x14ac:dyDescent="0.25">
      <c r="A36" s="69" t="s">
        <v>816</v>
      </c>
      <c r="B36" s="69" t="s">
        <v>817</v>
      </c>
      <c r="C36" s="154" t="s">
        <v>797</v>
      </c>
      <c r="D36" s="66" t="s">
        <v>798</v>
      </c>
      <c r="E36" s="158" t="s">
        <v>861</v>
      </c>
      <c r="F36" s="158" t="s">
        <v>862</v>
      </c>
      <c r="G36" s="158" t="s">
        <v>801</v>
      </c>
      <c r="H36" s="158" t="s">
        <v>802</v>
      </c>
      <c r="I36" s="159">
        <v>52247</v>
      </c>
      <c r="J36" s="160"/>
      <c r="K36" s="87" t="s">
        <v>107</v>
      </c>
      <c r="L36" s="160"/>
      <c r="M36" s="160"/>
      <c r="N36" s="160"/>
      <c r="O36" s="161"/>
    </row>
    <row r="37" spans="1:15" x14ac:dyDescent="0.25">
      <c r="A37" s="69" t="s">
        <v>848</v>
      </c>
      <c r="B37" s="69" t="s">
        <v>849</v>
      </c>
      <c r="C37" s="154" t="s">
        <v>797</v>
      </c>
      <c r="D37" s="66" t="s">
        <v>798</v>
      </c>
      <c r="E37" s="158" t="s">
        <v>861</v>
      </c>
      <c r="F37" s="158" t="s">
        <v>862</v>
      </c>
      <c r="G37" s="158" t="s">
        <v>801</v>
      </c>
      <c r="H37" s="158" t="s">
        <v>802</v>
      </c>
      <c r="I37" s="159">
        <v>36963</v>
      </c>
      <c r="J37" s="160"/>
      <c r="K37" s="87" t="s">
        <v>107</v>
      </c>
      <c r="L37" s="160"/>
      <c r="M37" s="160"/>
      <c r="N37" s="160"/>
      <c r="O37" s="161"/>
    </row>
    <row r="38" spans="1:15" x14ac:dyDescent="0.25">
      <c r="A38" s="69" t="s">
        <v>852</v>
      </c>
      <c r="B38" s="69" t="s">
        <v>853</v>
      </c>
      <c r="C38" s="154" t="s">
        <v>797</v>
      </c>
      <c r="D38" s="66" t="s">
        <v>798</v>
      </c>
      <c r="E38" s="158" t="s">
        <v>861</v>
      </c>
      <c r="F38" s="158" t="s">
        <v>862</v>
      </c>
      <c r="G38" s="158" t="s">
        <v>801</v>
      </c>
      <c r="H38" s="158" t="s">
        <v>802</v>
      </c>
      <c r="I38" s="159">
        <v>47141</v>
      </c>
      <c r="J38" s="160"/>
      <c r="K38" s="87" t="s">
        <v>107</v>
      </c>
      <c r="L38" s="160"/>
      <c r="M38" s="160"/>
      <c r="N38" s="160"/>
      <c r="O38" s="161"/>
    </row>
    <row r="39" spans="1:15" x14ac:dyDescent="0.25">
      <c r="A39" s="69" t="s">
        <v>854</v>
      </c>
      <c r="B39" s="69" t="s">
        <v>855</v>
      </c>
      <c r="C39" s="154" t="s">
        <v>797</v>
      </c>
      <c r="D39" s="66" t="s">
        <v>798</v>
      </c>
      <c r="E39" s="158" t="s">
        <v>861</v>
      </c>
      <c r="F39" s="158" t="s">
        <v>862</v>
      </c>
      <c r="G39" s="158" t="s">
        <v>801</v>
      </c>
      <c r="H39" s="158" t="s">
        <v>802</v>
      </c>
      <c r="I39" s="159">
        <v>8680</v>
      </c>
      <c r="J39" s="160"/>
      <c r="K39" s="87" t="s">
        <v>107</v>
      </c>
      <c r="L39" s="160"/>
      <c r="M39" s="160"/>
      <c r="N39" s="160"/>
      <c r="O39" s="161"/>
    </row>
    <row r="40" spans="1:15" x14ac:dyDescent="0.25">
      <c r="A40" s="69" t="s">
        <v>805</v>
      </c>
      <c r="B40" s="69" t="s">
        <v>806</v>
      </c>
      <c r="C40" s="154" t="s">
        <v>797</v>
      </c>
      <c r="D40" s="66" t="s">
        <v>798</v>
      </c>
      <c r="E40" s="158" t="s">
        <v>861</v>
      </c>
      <c r="F40" s="158" t="s">
        <v>862</v>
      </c>
      <c r="G40" s="158" t="s">
        <v>801</v>
      </c>
      <c r="H40" s="158" t="s">
        <v>802</v>
      </c>
      <c r="I40" s="159">
        <v>558</v>
      </c>
      <c r="J40" s="160"/>
      <c r="K40" s="87" t="s">
        <v>107</v>
      </c>
      <c r="L40" s="160"/>
      <c r="M40" s="160"/>
      <c r="N40" s="160"/>
      <c r="O40" s="161"/>
    </row>
    <row r="41" spans="1:15" x14ac:dyDescent="0.25">
      <c r="A41" s="69" t="s">
        <v>832</v>
      </c>
      <c r="B41" s="69" t="s">
        <v>833</v>
      </c>
      <c r="C41" s="154" t="s">
        <v>797</v>
      </c>
      <c r="D41" s="66" t="s">
        <v>798</v>
      </c>
      <c r="E41" s="158" t="s">
        <v>863</v>
      </c>
      <c r="F41" s="158" t="s">
        <v>864</v>
      </c>
      <c r="G41" s="158" t="s">
        <v>801</v>
      </c>
      <c r="H41" s="158" t="s">
        <v>802</v>
      </c>
      <c r="I41" s="159">
        <v>9383</v>
      </c>
      <c r="J41" s="160"/>
      <c r="K41" s="87" t="s">
        <v>106</v>
      </c>
      <c r="L41" s="160"/>
      <c r="M41" s="160"/>
      <c r="N41" s="160"/>
      <c r="O41" s="161"/>
    </row>
    <row r="42" spans="1:15" x14ac:dyDescent="0.25">
      <c r="A42" s="69" t="s">
        <v>848</v>
      </c>
      <c r="B42" s="69" t="s">
        <v>849</v>
      </c>
      <c r="C42" s="154" t="s">
        <v>797</v>
      </c>
      <c r="D42" s="66" t="s">
        <v>798</v>
      </c>
      <c r="E42" s="158" t="s">
        <v>865</v>
      </c>
      <c r="F42" s="158" t="s">
        <v>866</v>
      </c>
      <c r="G42" s="158" t="s">
        <v>801</v>
      </c>
      <c r="H42" s="158" t="s">
        <v>802</v>
      </c>
      <c r="I42" s="159">
        <v>9230</v>
      </c>
      <c r="J42" s="160"/>
      <c r="K42" s="87" t="s">
        <v>107</v>
      </c>
      <c r="L42" s="160"/>
      <c r="M42" s="160"/>
      <c r="N42" s="160"/>
      <c r="O42" s="161"/>
    </row>
    <row r="43" spans="1:15" x14ac:dyDescent="0.25">
      <c r="A43" s="69" t="s">
        <v>852</v>
      </c>
      <c r="B43" s="69" t="s">
        <v>853</v>
      </c>
      <c r="C43" s="154" t="s">
        <v>797</v>
      </c>
      <c r="D43" s="66" t="s">
        <v>798</v>
      </c>
      <c r="E43" s="158" t="s">
        <v>865</v>
      </c>
      <c r="F43" s="158" t="s">
        <v>866</v>
      </c>
      <c r="G43" s="158" t="s">
        <v>801</v>
      </c>
      <c r="H43" s="158" t="s">
        <v>802</v>
      </c>
      <c r="I43" s="159">
        <v>432</v>
      </c>
      <c r="J43" s="160"/>
      <c r="K43" s="87" t="s">
        <v>107</v>
      </c>
      <c r="L43" s="160"/>
      <c r="M43" s="160"/>
      <c r="N43" s="160"/>
      <c r="O43" s="161"/>
    </row>
    <row r="44" spans="1:15" x14ac:dyDescent="0.25">
      <c r="A44" s="69" t="s">
        <v>805</v>
      </c>
      <c r="B44" s="69" t="s">
        <v>806</v>
      </c>
      <c r="C44" s="154" t="s">
        <v>797</v>
      </c>
      <c r="D44" s="66" t="s">
        <v>798</v>
      </c>
      <c r="E44" s="158" t="s">
        <v>865</v>
      </c>
      <c r="F44" s="158" t="s">
        <v>866</v>
      </c>
      <c r="G44" s="158" t="s">
        <v>801</v>
      </c>
      <c r="H44" s="158" t="s">
        <v>802</v>
      </c>
      <c r="I44" s="159">
        <v>1900</v>
      </c>
      <c r="J44" s="160"/>
      <c r="K44" s="87" t="s">
        <v>107</v>
      </c>
      <c r="L44" s="160"/>
      <c r="M44" s="160"/>
      <c r="N44" s="160"/>
      <c r="O44" s="161"/>
    </row>
    <row r="45" spans="1:15" x14ac:dyDescent="0.25">
      <c r="A45" s="69" t="s">
        <v>822</v>
      </c>
      <c r="B45" s="69" t="s">
        <v>823</v>
      </c>
      <c r="C45" s="154" t="s">
        <v>797</v>
      </c>
      <c r="D45" s="66" t="s">
        <v>798</v>
      </c>
      <c r="E45" s="158" t="s">
        <v>867</v>
      </c>
      <c r="F45" s="158" t="s">
        <v>868</v>
      </c>
      <c r="G45" s="158" t="s">
        <v>801</v>
      </c>
      <c r="H45" s="158" t="s">
        <v>802</v>
      </c>
      <c r="I45" s="159">
        <v>29634</v>
      </c>
      <c r="J45" s="160"/>
      <c r="K45" s="87" t="s">
        <v>107</v>
      </c>
      <c r="L45" s="160"/>
      <c r="M45" s="160"/>
      <c r="N45" s="160"/>
      <c r="O45" s="161"/>
    </row>
    <row r="46" spans="1:15" x14ac:dyDescent="0.25">
      <c r="A46" s="69" t="s">
        <v>822</v>
      </c>
      <c r="B46" s="69" t="s">
        <v>823</v>
      </c>
      <c r="C46" s="154" t="s">
        <v>797</v>
      </c>
      <c r="D46" s="66" t="s">
        <v>798</v>
      </c>
      <c r="E46" s="158" t="s">
        <v>869</v>
      </c>
      <c r="F46" s="158" t="s">
        <v>870</v>
      </c>
      <c r="G46" s="158" t="s">
        <v>801</v>
      </c>
      <c r="H46" s="158" t="s">
        <v>802</v>
      </c>
      <c r="I46" s="159">
        <v>28944</v>
      </c>
      <c r="J46" s="160"/>
      <c r="K46" s="87" t="s">
        <v>107</v>
      </c>
      <c r="L46" s="160"/>
      <c r="M46" s="160"/>
      <c r="N46" s="160"/>
      <c r="O46" s="161"/>
    </row>
    <row r="47" spans="1:15" x14ac:dyDescent="0.25">
      <c r="A47" s="69" t="s">
        <v>848</v>
      </c>
      <c r="B47" s="69" t="s">
        <v>849</v>
      </c>
      <c r="C47" s="154" t="s">
        <v>797</v>
      </c>
      <c r="D47" s="66" t="s">
        <v>798</v>
      </c>
      <c r="E47" s="158" t="s">
        <v>871</v>
      </c>
      <c r="F47" s="158" t="s">
        <v>872</v>
      </c>
      <c r="G47" s="158" t="s">
        <v>801</v>
      </c>
      <c r="H47" s="158" t="s">
        <v>802</v>
      </c>
      <c r="I47" s="159">
        <v>11531</v>
      </c>
      <c r="J47" s="160"/>
      <c r="K47" s="87" t="s">
        <v>107</v>
      </c>
      <c r="L47" s="160"/>
      <c r="M47" s="160"/>
      <c r="N47" s="160"/>
      <c r="O47" s="161"/>
    </row>
    <row r="48" spans="1:15" x14ac:dyDescent="0.25">
      <c r="A48" s="69" t="s">
        <v>854</v>
      </c>
      <c r="B48" s="69" t="s">
        <v>855</v>
      </c>
      <c r="C48" s="154" t="s">
        <v>797</v>
      </c>
      <c r="D48" s="66" t="s">
        <v>798</v>
      </c>
      <c r="E48" s="158" t="s">
        <v>871</v>
      </c>
      <c r="F48" s="158" t="s">
        <v>872</v>
      </c>
      <c r="G48" s="158" t="s">
        <v>801</v>
      </c>
      <c r="H48" s="158" t="s">
        <v>802</v>
      </c>
      <c r="I48" s="159">
        <v>2967</v>
      </c>
      <c r="J48" s="160"/>
      <c r="K48" s="87" t="s">
        <v>107</v>
      </c>
      <c r="L48" s="160"/>
      <c r="M48" s="160"/>
      <c r="N48" s="160"/>
      <c r="O48" s="161"/>
    </row>
    <row r="49" spans="1:15" x14ac:dyDescent="0.25">
      <c r="A49" s="69" t="s">
        <v>805</v>
      </c>
      <c r="B49" s="69" t="s">
        <v>806</v>
      </c>
      <c r="C49" s="154" t="s">
        <v>797</v>
      </c>
      <c r="D49" s="66" t="s">
        <v>798</v>
      </c>
      <c r="E49" s="158" t="s">
        <v>871</v>
      </c>
      <c r="F49" s="158" t="s">
        <v>872</v>
      </c>
      <c r="G49" s="158" t="s">
        <v>801</v>
      </c>
      <c r="H49" s="158" t="s">
        <v>802</v>
      </c>
      <c r="I49" s="159">
        <v>214587</v>
      </c>
      <c r="J49" s="160"/>
      <c r="K49" s="87" t="s">
        <v>107</v>
      </c>
      <c r="L49" s="160"/>
      <c r="M49" s="160"/>
      <c r="N49" s="160"/>
      <c r="O49" s="161"/>
    </row>
    <row r="50" spans="1:15" x14ac:dyDescent="0.25">
      <c r="A50" s="69" t="s">
        <v>805</v>
      </c>
      <c r="B50" s="69" t="s">
        <v>806</v>
      </c>
      <c r="C50" s="154" t="s">
        <v>797</v>
      </c>
      <c r="D50" s="66" t="s">
        <v>798</v>
      </c>
      <c r="E50" s="158" t="s">
        <v>873</v>
      </c>
      <c r="F50" s="158" t="s">
        <v>874</v>
      </c>
      <c r="G50" s="158" t="s">
        <v>801</v>
      </c>
      <c r="H50" s="158" t="s">
        <v>802</v>
      </c>
      <c r="I50" s="159">
        <v>46529</v>
      </c>
      <c r="J50" s="160"/>
      <c r="K50" s="87" t="s">
        <v>107</v>
      </c>
      <c r="L50" s="160"/>
      <c r="M50" s="160"/>
      <c r="N50" s="160"/>
      <c r="O50" s="161"/>
    </row>
    <row r="51" spans="1:15" x14ac:dyDescent="0.25">
      <c r="A51" s="69" t="s">
        <v>805</v>
      </c>
      <c r="B51" s="69" t="s">
        <v>806</v>
      </c>
      <c r="C51" s="154" t="s">
        <v>797</v>
      </c>
      <c r="D51" s="66" t="s">
        <v>798</v>
      </c>
      <c r="E51" s="158" t="s">
        <v>875</v>
      </c>
      <c r="F51" s="158" t="s">
        <v>876</v>
      </c>
      <c r="G51" s="158" t="s">
        <v>801</v>
      </c>
      <c r="H51" s="158" t="s">
        <v>802</v>
      </c>
      <c r="I51" s="159">
        <v>23669</v>
      </c>
      <c r="J51" s="160"/>
      <c r="K51" s="87" t="s">
        <v>107</v>
      </c>
      <c r="L51" s="160"/>
      <c r="M51" s="160"/>
      <c r="N51" s="160"/>
      <c r="O51" s="161"/>
    </row>
    <row r="52" spans="1:15" x14ac:dyDescent="0.25">
      <c r="A52" s="69" t="s">
        <v>822</v>
      </c>
      <c r="B52" s="69" t="s">
        <v>823</v>
      </c>
      <c r="C52" s="154" t="s">
        <v>797</v>
      </c>
      <c r="D52" s="66" t="s">
        <v>798</v>
      </c>
      <c r="E52" s="158" t="s">
        <v>875</v>
      </c>
      <c r="F52" s="158" t="s">
        <v>876</v>
      </c>
      <c r="G52" s="158" t="s">
        <v>801</v>
      </c>
      <c r="H52" s="158" t="s">
        <v>802</v>
      </c>
      <c r="I52" s="159">
        <v>160</v>
      </c>
      <c r="J52" s="160"/>
      <c r="K52" s="87" t="s">
        <v>107</v>
      </c>
      <c r="L52" s="160"/>
      <c r="M52" s="160"/>
      <c r="N52" s="160"/>
      <c r="O52" s="161"/>
    </row>
    <row r="53" spans="1:15" x14ac:dyDescent="0.25">
      <c r="A53" s="69" t="s">
        <v>822</v>
      </c>
      <c r="B53" s="69" t="s">
        <v>823</v>
      </c>
      <c r="C53" s="154" t="s">
        <v>797</v>
      </c>
      <c r="D53" s="66" t="s">
        <v>798</v>
      </c>
      <c r="E53" s="158" t="s">
        <v>877</v>
      </c>
      <c r="F53" s="158" t="s">
        <v>878</v>
      </c>
      <c r="G53" s="158" t="s">
        <v>801</v>
      </c>
      <c r="H53" s="158" t="s">
        <v>802</v>
      </c>
      <c r="I53" s="159">
        <v>932</v>
      </c>
      <c r="J53" s="160"/>
      <c r="K53" s="87" t="s">
        <v>107</v>
      </c>
      <c r="L53" s="160"/>
      <c r="M53" s="160"/>
      <c r="N53" s="160"/>
      <c r="O53" s="161"/>
    </row>
    <row r="54" spans="1:15" x14ac:dyDescent="0.25">
      <c r="A54" s="69" t="s">
        <v>844</v>
      </c>
      <c r="B54" s="69" t="s">
        <v>845</v>
      </c>
      <c r="C54" s="154" t="s">
        <v>797</v>
      </c>
      <c r="D54" s="66" t="s">
        <v>798</v>
      </c>
      <c r="E54" s="158" t="s">
        <v>879</v>
      </c>
      <c r="F54" s="158" t="s">
        <v>880</v>
      </c>
      <c r="G54" s="158" t="s">
        <v>801</v>
      </c>
      <c r="H54" s="158" t="s">
        <v>802</v>
      </c>
      <c r="I54" s="159">
        <v>77575</v>
      </c>
      <c r="J54" s="160"/>
      <c r="K54" s="87" t="s">
        <v>108</v>
      </c>
      <c r="L54" s="160"/>
      <c r="M54" s="160"/>
      <c r="N54" s="160"/>
      <c r="O54" s="161"/>
    </row>
    <row r="55" spans="1:15" x14ac:dyDescent="0.25">
      <c r="A55" s="69" t="s">
        <v>816</v>
      </c>
      <c r="B55" s="69" t="s">
        <v>817</v>
      </c>
      <c r="C55" s="154" t="s">
        <v>797</v>
      </c>
      <c r="D55" s="66" t="s">
        <v>798</v>
      </c>
      <c r="E55" s="158" t="s">
        <v>879</v>
      </c>
      <c r="F55" s="158" t="s">
        <v>880</v>
      </c>
      <c r="G55" s="158" t="s">
        <v>820</v>
      </c>
      <c r="H55" s="158" t="s">
        <v>821</v>
      </c>
      <c r="I55" s="159">
        <v>88</v>
      </c>
      <c r="J55" s="160"/>
      <c r="K55" s="87" t="s">
        <v>113</v>
      </c>
      <c r="L55" s="160"/>
      <c r="M55" s="160"/>
      <c r="N55" s="160"/>
      <c r="O55" s="161" t="s">
        <v>821</v>
      </c>
    </row>
    <row r="56" spans="1:15" x14ac:dyDescent="0.25">
      <c r="A56" s="69" t="s">
        <v>816</v>
      </c>
      <c r="B56" s="69" t="s">
        <v>817</v>
      </c>
      <c r="C56" s="154" t="s">
        <v>797</v>
      </c>
      <c r="D56" s="66" t="s">
        <v>798</v>
      </c>
      <c r="E56" s="158" t="s">
        <v>879</v>
      </c>
      <c r="F56" s="158" t="s">
        <v>880</v>
      </c>
      <c r="G56" s="158" t="s">
        <v>801</v>
      </c>
      <c r="H56" s="158" t="s">
        <v>802</v>
      </c>
      <c r="I56" s="159">
        <v>48425</v>
      </c>
      <c r="J56" s="160"/>
      <c r="K56" s="87" t="s">
        <v>108</v>
      </c>
      <c r="L56" s="160"/>
      <c r="M56" s="160"/>
      <c r="N56" s="160"/>
      <c r="O56" s="161"/>
    </row>
    <row r="57" spans="1:15" x14ac:dyDescent="0.25">
      <c r="A57" s="69" t="s">
        <v>848</v>
      </c>
      <c r="B57" s="69" t="s">
        <v>849</v>
      </c>
      <c r="C57" s="154" t="s">
        <v>797</v>
      </c>
      <c r="D57" s="66" t="s">
        <v>798</v>
      </c>
      <c r="E57" s="158" t="s">
        <v>879</v>
      </c>
      <c r="F57" s="158" t="s">
        <v>880</v>
      </c>
      <c r="G57" s="158" t="s">
        <v>850</v>
      </c>
      <c r="H57" s="158" t="s">
        <v>851</v>
      </c>
      <c r="I57" s="159">
        <v>126</v>
      </c>
      <c r="J57" s="160"/>
      <c r="K57" s="87" t="s">
        <v>108</v>
      </c>
      <c r="L57" s="160"/>
      <c r="M57" s="160"/>
      <c r="N57" s="160"/>
      <c r="O57" s="161"/>
    </row>
    <row r="58" spans="1:15" x14ac:dyDescent="0.25">
      <c r="A58" s="69" t="s">
        <v>848</v>
      </c>
      <c r="B58" s="69" t="s">
        <v>849</v>
      </c>
      <c r="C58" s="154" t="s">
        <v>797</v>
      </c>
      <c r="D58" s="66" t="s">
        <v>798</v>
      </c>
      <c r="E58" s="158" t="s">
        <v>879</v>
      </c>
      <c r="F58" s="158" t="s">
        <v>880</v>
      </c>
      <c r="G58" s="158" t="s">
        <v>801</v>
      </c>
      <c r="H58" s="158" t="s">
        <v>802</v>
      </c>
      <c r="I58" s="159">
        <v>23997</v>
      </c>
      <c r="J58" s="160"/>
      <c r="K58" s="87" t="s">
        <v>108</v>
      </c>
      <c r="L58" s="160"/>
      <c r="M58" s="160"/>
      <c r="N58" s="160"/>
      <c r="O58" s="161"/>
    </row>
    <row r="59" spans="1:15" x14ac:dyDescent="0.25">
      <c r="A59" s="69" t="s">
        <v>852</v>
      </c>
      <c r="B59" s="69" t="s">
        <v>853</v>
      </c>
      <c r="C59" s="154" t="s">
        <v>797</v>
      </c>
      <c r="D59" s="66" t="s">
        <v>798</v>
      </c>
      <c r="E59" s="158" t="s">
        <v>879</v>
      </c>
      <c r="F59" s="158" t="s">
        <v>880</v>
      </c>
      <c r="G59" s="158" t="s">
        <v>801</v>
      </c>
      <c r="H59" s="158" t="s">
        <v>802</v>
      </c>
      <c r="I59" s="159">
        <v>23905</v>
      </c>
      <c r="J59" s="160"/>
      <c r="K59" s="87" t="s">
        <v>108</v>
      </c>
      <c r="L59" s="160"/>
      <c r="M59" s="160"/>
      <c r="N59" s="160"/>
      <c r="O59" s="161"/>
    </row>
    <row r="60" spans="1:15" x14ac:dyDescent="0.25">
      <c r="A60" s="69" t="s">
        <v>854</v>
      </c>
      <c r="B60" s="69" t="s">
        <v>855</v>
      </c>
      <c r="C60" s="154" t="s">
        <v>797</v>
      </c>
      <c r="D60" s="66" t="s">
        <v>798</v>
      </c>
      <c r="E60" s="158" t="s">
        <v>879</v>
      </c>
      <c r="F60" s="158" t="s">
        <v>880</v>
      </c>
      <c r="G60" s="158" t="s">
        <v>801</v>
      </c>
      <c r="H60" s="158" t="s">
        <v>802</v>
      </c>
      <c r="I60" s="159">
        <v>5515</v>
      </c>
      <c r="J60" s="160"/>
      <c r="K60" s="87" t="s">
        <v>108</v>
      </c>
      <c r="L60" s="160"/>
      <c r="M60" s="160"/>
      <c r="N60" s="160"/>
      <c r="O60" s="161"/>
    </row>
    <row r="61" spans="1:15" x14ac:dyDescent="0.25">
      <c r="A61" s="69" t="s">
        <v>805</v>
      </c>
      <c r="B61" s="69" t="s">
        <v>806</v>
      </c>
      <c r="C61" s="154" t="s">
        <v>797</v>
      </c>
      <c r="D61" s="66" t="s">
        <v>798</v>
      </c>
      <c r="E61" s="158" t="s">
        <v>879</v>
      </c>
      <c r="F61" s="158" t="s">
        <v>880</v>
      </c>
      <c r="G61" s="158" t="s">
        <v>801</v>
      </c>
      <c r="H61" s="158" t="s">
        <v>802</v>
      </c>
      <c r="I61" s="159">
        <v>72563</v>
      </c>
      <c r="J61" s="160"/>
      <c r="K61" s="87" t="s">
        <v>108</v>
      </c>
      <c r="L61" s="160"/>
      <c r="M61" s="160"/>
      <c r="N61" s="160"/>
      <c r="O61" s="161"/>
    </row>
    <row r="62" spans="1:15" x14ac:dyDescent="0.25">
      <c r="A62" s="69" t="s">
        <v>822</v>
      </c>
      <c r="B62" s="69" t="s">
        <v>823</v>
      </c>
      <c r="C62" s="154" t="s">
        <v>797</v>
      </c>
      <c r="D62" s="66" t="s">
        <v>798</v>
      </c>
      <c r="E62" s="158" t="s">
        <v>879</v>
      </c>
      <c r="F62" s="158" t="s">
        <v>880</v>
      </c>
      <c r="G62" s="158" t="s">
        <v>801</v>
      </c>
      <c r="H62" s="158" t="s">
        <v>802</v>
      </c>
      <c r="I62" s="159">
        <v>33777</v>
      </c>
      <c r="J62" s="160"/>
      <c r="K62" s="87" t="s">
        <v>108</v>
      </c>
      <c r="L62" s="160"/>
      <c r="M62" s="160"/>
      <c r="N62" s="160"/>
      <c r="O62" s="161"/>
    </row>
    <row r="63" spans="1:15" x14ac:dyDescent="0.25">
      <c r="A63" s="69" t="s">
        <v>832</v>
      </c>
      <c r="B63" s="69" t="s">
        <v>833</v>
      </c>
      <c r="C63" s="154" t="s">
        <v>797</v>
      </c>
      <c r="D63" s="66" t="s">
        <v>798</v>
      </c>
      <c r="E63" s="158" t="s">
        <v>879</v>
      </c>
      <c r="F63" s="158" t="s">
        <v>880</v>
      </c>
      <c r="G63" s="158" t="s">
        <v>801</v>
      </c>
      <c r="H63" s="158" t="s">
        <v>802</v>
      </c>
      <c r="I63" s="159">
        <v>1572</v>
      </c>
      <c r="J63" s="160"/>
      <c r="K63" s="87" t="s">
        <v>108</v>
      </c>
      <c r="L63" s="160"/>
      <c r="M63" s="160"/>
      <c r="N63" s="160"/>
      <c r="O63" s="161"/>
    </row>
    <row r="64" spans="1:15" x14ac:dyDescent="0.25">
      <c r="A64" s="69" t="s">
        <v>881</v>
      </c>
      <c r="B64" s="69" t="s">
        <v>882</v>
      </c>
      <c r="C64" s="154" t="s">
        <v>797</v>
      </c>
      <c r="D64" s="66" t="s">
        <v>798</v>
      </c>
      <c r="E64" s="158" t="s">
        <v>883</v>
      </c>
      <c r="F64" s="158" t="s">
        <v>884</v>
      </c>
      <c r="G64" s="158" t="s">
        <v>801</v>
      </c>
      <c r="H64" s="158" t="s">
        <v>802</v>
      </c>
      <c r="I64" s="159">
        <v>1284816</v>
      </c>
      <c r="J64" s="160"/>
      <c r="K64" s="87" t="s">
        <v>757</v>
      </c>
      <c r="L64" s="160"/>
      <c r="M64" s="160"/>
      <c r="N64" s="160"/>
      <c r="O64" s="161"/>
    </row>
    <row r="65" spans="1:15" x14ac:dyDescent="0.25">
      <c r="A65" s="69" t="s">
        <v>795</v>
      </c>
      <c r="B65" s="69" t="s">
        <v>796</v>
      </c>
      <c r="C65" s="154" t="s">
        <v>797</v>
      </c>
      <c r="D65" s="66" t="s">
        <v>798</v>
      </c>
      <c r="E65" s="158" t="s">
        <v>885</v>
      </c>
      <c r="F65" s="158" t="s">
        <v>886</v>
      </c>
      <c r="G65" s="158" t="s">
        <v>801</v>
      </c>
      <c r="H65" s="158" t="s">
        <v>802</v>
      </c>
      <c r="I65" s="159">
        <v>-3021</v>
      </c>
      <c r="J65" s="160"/>
      <c r="K65" s="87" t="s">
        <v>109</v>
      </c>
      <c r="L65" s="160"/>
      <c r="M65" s="160"/>
      <c r="N65" s="160"/>
      <c r="O65" s="161"/>
    </row>
    <row r="66" spans="1:15" x14ac:dyDescent="0.25">
      <c r="A66" s="69" t="s">
        <v>844</v>
      </c>
      <c r="B66" s="69" t="s">
        <v>845</v>
      </c>
      <c r="C66" s="154" t="s">
        <v>797</v>
      </c>
      <c r="D66" s="66" t="s">
        <v>798</v>
      </c>
      <c r="E66" s="158" t="s">
        <v>887</v>
      </c>
      <c r="F66" s="158" t="s">
        <v>888</v>
      </c>
      <c r="G66" s="158" t="s">
        <v>801</v>
      </c>
      <c r="H66" s="158" t="s">
        <v>802</v>
      </c>
      <c r="I66" s="159">
        <v>-77575</v>
      </c>
      <c r="J66" s="160"/>
      <c r="K66" s="87" t="s">
        <v>110</v>
      </c>
      <c r="L66" s="160"/>
      <c r="M66" s="160"/>
      <c r="N66" s="160"/>
      <c r="O66" s="161"/>
    </row>
    <row r="67" spans="1:15" x14ac:dyDescent="0.25">
      <c r="A67" s="69" t="s">
        <v>816</v>
      </c>
      <c r="B67" s="69" t="s">
        <v>817</v>
      </c>
      <c r="C67" s="154" t="s">
        <v>797</v>
      </c>
      <c r="D67" s="66" t="s">
        <v>798</v>
      </c>
      <c r="E67" s="158" t="s">
        <v>887</v>
      </c>
      <c r="F67" s="158" t="s">
        <v>888</v>
      </c>
      <c r="G67" s="158" t="s">
        <v>820</v>
      </c>
      <c r="H67" s="158" t="s">
        <v>821</v>
      </c>
      <c r="I67" s="159">
        <v>-88</v>
      </c>
      <c r="J67" s="160"/>
      <c r="K67" s="87" t="s">
        <v>113</v>
      </c>
      <c r="L67" s="160"/>
      <c r="M67" s="160"/>
      <c r="N67" s="160"/>
      <c r="O67" s="161" t="s">
        <v>821</v>
      </c>
    </row>
    <row r="68" spans="1:15" x14ac:dyDescent="0.25">
      <c r="A68" s="69" t="s">
        <v>816</v>
      </c>
      <c r="B68" s="69" t="s">
        <v>817</v>
      </c>
      <c r="C68" s="154" t="s">
        <v>797</v>
      </c>
      <c r="D68" s="66" t="s">
        <v>798</v>
      </c>
      <c r="E68" s="158" t="s">
        <v>887</v>
      </c>
      <c r="F68" s="158" t="s">
        <v>888</v>
      </c>
      <c r="G68" s="158" t="s">
        <v>801</v>
      </c>
      <c r="H68" s="158" t="s">
        <v>802</v>
      </c>
      <c r="I68" s="159">
        <v>-48425</v>
      </c>
      <c r="J68" s="160"/>
      <c r="K68" s="87" t="s">
        <v>110</v>
      </c>
      <c r="L68" s="160"/>
      <c r="M68" s="160"/>
      <c r="N68" s="160"/>
      <c r="O68" s="161"/>
    </row>
    <row r="69" spans="1:15" x14ac:dyDescent="0.25">
      <c r="A69" s="69" t="s">
        <v>848</v>
      </c>
      <c r="B69" s="69" t="s">
        <v>849</v>
      </c>
      <c r="C69" s="154" t="s">
        <v>797</v>
      </c>
      <c r="D69" s="66" t="s">
        <v>798</v>
      </c>
      <c r="E69" s="158" t="s">
        <v>887</v>
      </c>
      <c r="F69" s="158" t="s">
        <v>888</v>
      </c>
      <c r="G69" s="158" t="s">
        <v>850</v>
      </c>
      <c r="H69" s="158" t="s">
        <v>851</v>
      </c>
      <c r="I69" s="159">
        <v>-126</v>
      </c>
      <c r="J69" s="160"/>
      <c r="K69" s="87" t="s">
        <v>110</v>
      </c>
      <c r="L69" s="160"/>
      <c r="M69" s="160"/>
      <c r="N69" s="160"/>
      <c r="O69" s="161"/>
    </row>
    <row r="70" spans="1:15" x14ac:dyDescent="0.25">
      <c r="A70" s="69" t="s">
        <v>848</v>
      </c>
      <c r="B70" s="69" t="s">
        <v>849</v>
      </c>
      <c r="C70" s="154" t="s">
        <v>797</v>
      </c>
      <c r="D70" s="66" t="s">
        <v>798</v>
      </c>
      <c r="E70" s="158" t="s">
        <v>887</v>
      </c>
      <c r="F70" s="158" t="s">
        <v>888</v>
      </c>
      <c r="G70" s="158" t="s">
        <v>801</v>
      </c>
      <c r="H70" s="158" t="s">
        <v>802</v>
      </c>
      <c r="I70" s="159">
        <v>-23997</v>
      </c>
      <c r="J70" s="160"/>
      <c r="K70" s="87" t="s">
        <v>110</v>
      </c>
      <c r="L70" s="160"/>
      <c r="M70" s="160"/>
      <c r="N70" s="160"/>
      <c r="O70" s="161"/>
    </row>
    <row r="71" spans="1:15" x14ac:dyDescent="0.25">
      <c r="A71" s="69" t="s">
        <v>852</v>
      </c>
      <c r="B71" s="69" t="s">
        <v>853</v>
      </c>
      <c r="C71" s="154" t="s">
        <v>797</v>
      </c>
      <c r="D71" s="66" t="s">
        <v>798</v>
      </c>
      <c r="E71" s="158" t="s">
        <v>887</v>
      </c>
      <c r="F71" s="158" t="s">
        <v>888</v>
      </c>
      <c r="G71" s="158" t="s">
        <v>801</v>
      </c>
      <c r="H71" s="158" t="s">
        <v>802</v>
      </c>
      <c r="I71" s="159">
        <v>-23905</v>
      </c>
      <c r="J71" s="160"/>
      <c r="K71" s="87" t="s">
        <v>110</v>
      </c>
      <c r="L71" s="160"/>
      <c r="M71" s="160"/>
      <c r="N71" s="160"/>
      <c r="O71" s="161"/>
    </row>
    <row r="72" spans="1:15" x14ac:dyDescent="0.25">
      <c r="A72" s="69" t="s">
        <v>854</v>
      </c>
      <c r="B72" s="69" t="s">
        <v>855</v>
      </c>
      <c r="C72" s="154" t="s">
        <v>797</v>
      </c>
      <c r="D72" s="66" t="s">
        <v>798</v>
      </c>
      <c r="E72" s="158" t="s">
        <v>887</v>
      </c>
      <c r="F72" s="158" t="s">
        <v>888</v>
      </c>
      <c r="G72" s="158" t="s">
        <v>801</v>
      </c>
      <c r="H72" s="158" t="s">
        <v>802</v>
      </c>
      <c r="I72" s="159">
        <v>-5515</v>
      </c>
      <c r="J72" s="160"/>
      <c r="K72" s="87" t="s">
        <v>110</v>
      </c>
      <c r="L72" s="160"/>
      <c r="M72" s="160"/>
      <c r="N72" s="160"/>
      <c r="O72" s="161"/>
    </row>
    <row r="73" spans="1:15" x14ac:dyDescent="0.25">
      <c r="A73" s="69" t="s">
        <v>805</v>
      </c>
      <c r="B73" s="69" t="s">
        <v>806</v>
      </c>
      <c r="C73" s="154" t="s">
        <v>797</v>
      </c>
      <c r="D73" s="66" t="s">
        <v>798</v>
      </c>
      <c r="E73" s="158" t="s">
        <v>887</v>
      </c>
      <c r="F73" s="158" t="s">
        <v>888</v>
      </c>
      <c r="G73" s="158" t="s">
        <v>801</v>
      </c>
      <c r="H73" s="158" t="s">
        <v>802</v>
      </c>
      <c r="I73" s="159">
        <v>-72563</v>
      </c>
      <c r="J73" s="160"/>
      <c r="K73" s="87" t="s">
        <v>110</v>
      </c>
      <c r="L73" s="160"/>
      <c r="M73" s="160"/>
      <c r="N73" s="160"/>
      <c r="O73" s="161"/>
    </row>
    <row r="74" spans="1:15" x14ac:dyDescent="0.25">
      <c r="A74" s="69" t="s">
        <v>822</v>
      </c>
      <c r="B74" s="69" t="s">
        <v>823</v>
      </c>
      <c r="C74" s="154" t="s">
        <v>797</v>
      </c>
      <c r="D74" s="66" t="s">
        <v>798</v>
      </c>
      <c r="E74" s="158" t="s">
        <v>887</v>
      </c>
      <c r="F74" s="158" t="s">
        <v>888</v>
      </c>
      <c r="G74" s="158" t="s">
        <v>801</v>
      </c>
      <c r="H74" s="158" t="s">
        <v>802</v>
      </c>
      <c r="I74" s="159">
        <v>-33777</v>
      </c>
      <c r="J74" s="160"/>
      <c r="K74" s="87" t="s">
        <v>110</v>
      </c>
      <c r="L74" s="160"/>
      <c r="M74" s="160"/>
      <c r="N74" s="160"/>
      <c r="O74" s="161"/>
    </row>
    <row r="75" spans="1:15" x14ac:dyDescent="0.25">
      <c r="A75" s="69" t="s">
        <v>832</v>
      </c>
      <c r="B75" s="69" t="s">
        <v>833</v>
      </c>
      <c r="C75" s="154" t="s">
        <v>797</v>
      </c>
      <c r="D75" s="66" t="s">
        <v>798</v>
      </c>
      <c r="E75" s="158" t="s">
        <v>887</v>
      </c>
      <c r="F75" s="158" t="s">
        <v>888</v>
      </c>
      <c r="G75" s="158" t="s">
        <v>801</v>
      </c>
      <c r="H75" s="158" t="s">
        <v>802</v>
      </c>
      <c r="I75" s="159">
        <v>-1572</v>
      </c>
      <c r="J75" s="160"/>
      <c r="K75" s="87" t="s">
        <v>110</v>
      </c>
      <c r="L75" s="160"/>
      <c r="M75" s="160"/>
      <c r="N75" s="160"/>
      <c r="O75" s="161"/>
    </row>
    <row r="76" spans="1:15" x14ac:dyDescent="0.25">
      <c r="A76" s="69"/>
      <c r="B76" s="69"/>
      <c r="C76" s="154"/>
      <c r="D76" s="66"/>
      <c r="E76" s="158"/>
      <c r="F76" s="158"/>
      <c r="G76" s="158"/>
      <c r="H76" s="158"/>
      <c r="I76" s="159"/>
      <c r="J76" s="160"/>
      <c r="K76" s="87"/>
      <c r="L76" s="160"/>
      <c r="M76" s="160"/>
      <c r="N76" s="160"/>
      <c r="O76" s="161"/>
    </row>
    <row r="77" spans="1:15" x14ac:dyDescent="0.25">
      <c r="A77" s="69"/>
      <c r="B77" s="69"/>
      <c r="C77" s="154"/>
      <c r="D77" s="66"/>
      <c r="E77" s="158"/>
      <c r="F77" s="158"/>
      <c r="G77" s="158"/>
      <c r="H77" s="158"/>
      <c r="I77" s="159"/>
      <c r="J77" s="160"/>
      <c r="K77" s="87"/>
      <c r="L77" s="160"/>
      <c r="M77" s="160"/>
      <c r="N77" s="160"/>
      <c r="O77" s="161"/>
    </row>
    <row r="78" spans="1:15" x14ac:dyDescent="0.25">
      <c r="A78" s="69"/>
      <c r="B78" s="69"/>
      <c r="C78" s="154"/>
      <c r="D78" s="66"/>
      <c r="E78" s="158"/>
      <c r="F78" s="158"/>
      <c r="G78" s="158"/>
      <c r="H78" s="158"/>
      <c r="I78" s="159"/>
      <c r="J78" s="160"/>
      <c r="K78" s="87"/>
      <c r="L78" s="160"/>
      <c r="M78" s="160"/>
      <c r="N78" s="160"/>
      <c r="O78" s="161"/>
    </row>
    <row r="79" spans="1:15" x14ac:dyDescent="0.25">
      <c r="A79" s="69"/>
      <c r="B79" s="69"/>
      <c r="C79" s="154"/>
      <c r="D79" s="66"/>
      <c r="E79" s="158"/>
      <c r="F79" s="158"/>
      <c r="G79" s="158"/>
      <c r="H79" s="158"/>
      <c r="I79" s="159"/>
      <c r="J79" s="160"/>
      <c r="K79" s="87"/>
      <c r="L79" s="160"/>
      <c r="M79" s="160"/>
      <c r="N79" s="160"/>
      <c r="O79" s="161"/>
    </row>
    <row r="80" spans="1:15" x14ac:dyDescent="0.25">
      <c r="A80" s="69"/>
      <c r="B80" s="69"/>
      <c r="C80" s="154"/>
      <c r="D80" s="66"/>
      <c r="E80" s="158"/>
      <c r="F80" s="158"/>
      <c r="G80" s="158"/>
      <c r="H80" s="158"/>
      <c r="I80" s="159"/>
      <c r="J80" s="160"/>
      <c r="K80" s="87"/>
      <c r="L80" s="160"/>
      <c r="M80" s="160"/>
      <c r="N80" s="160"/>
      <c r="O80" s="161"/>
    </row>
    <row r="81" spans="1:15" x14ac:dyDescent="0.25">
      <c r="A81" s="69"/>
      <c r="B81" s="69"/>
      <c r="C81" s="154"/>
      <c r="D81" s="66"/>
      <c r="E81" s="158"/>
      <c r="F81" s="158"/>
      <c r="G81" s="158"/>
      <c r="H81" s="158"/>
      <c r="I81" s="159"/>
      <c r="J81" s="160"/>
      <c r="K81" s="87"/>
      <c r="L81" s="160"/>
      <c r="M81" s="160"/>
      <c r="N81" s="160"/>
      <c r="O81" s="161"/>
    </row>
    <row r="82" spans="1:15" x14ac:dyDescent="0.25">
      <c r="A82" s="69"/>
      <c r="B82" s="69"/>
      <c r="C82" s="154"/>
      <c r="D82" s="66"/>
      <c r="E82" s="158"/>
      <c r="F82" s="158"/>
      <c r="G82" s="158"/>
      <c r="H82" s="158"/>
      <c r="I82" s="159"/>
      <c r="J82" s="160"/>
      <c r="K82" s="87"/>
      <c r="L82" s="160"/>
      <c r="M82" s="160"/>
      <c r="N82" s="160"/>
      <c r="O82" s="161"/>
    </row>
    <row r="83" spans="1:15" x14ac:dyDescent="0.25">
      <c r="A83" s="69"/>
      <c r="B83" s="69"/>
      <c r="C83" s="154"/>
      <c r="D83" s="66"/>
      <c r="E83" s="158"/>
      <c r="F83" s="158"/>
      <c r="G83" s="158"/>
      <c r="H83" s="158"/>
      <c r="I83" s="159"/>
      <c r="J83" s="160"/>
      <c r="K83" s="87"/>
      <c r="L83" s="160"/>
      <c r="M83" s="160"/>
      <c r="N83" s="160"/>
      <c r="O83" s="161"/>
    </row>
    <row r="84" spans="1:15" x14ac:dyDescent="0.25">
      <c r="A84" s="69"/>
      <c r="B84" s="69"/>
      <c r="C84" s="154"/>
      <c r="D84" s="66"/>
      <c r="E84" s="158"/>
      <c r="F84" s="158"/>
      <c r="G84" s="158"/>
      <c r="H84" s="158"/>
      <c r="I84" s="159"/>
      <c r="J84" s="160"/>
      <c r="K84" s="87"/>
      <c r="L84" s="160"/>
      <c r="M84" s="160"/>
      <c r="N84" s="160"/>
      <c r="O84" s="161"/>
    </row>
    <row r="85" spans="1:15" x14ac:dyDescent="0.25">
      <c r="A85" s="69"/>
      <c r="B85" s="69"/>
      <c r="C85" s="154"/>
      <c r="D85" s="66"/>
      <c r="E85" s="158"/>
      <c r="F85" s="158"/>
      <c r="G85" s="158"/>
      <c r="H85" s="158"/>
      <c r="I85" s="159"/>
      <c r="J85" s="160"/>
      <c r="K85" s="87"/>
      <c r="L85" s="160"/>
      <c r="M85" s="160"/>
      <c r="N85" s="160"/>
      <c r="O85" s="161"/>
    </row>
    <row r="86" spans="1:15" x14ac:dyDescent="0.25">
      <c r="A86" s="69"/>
      <c r="B86" s="69"/>
      <c r="C86" s="154"/>
      <c r="D86" s="66"/>
      <c r="E86" s="158"/>
      <c r="F86" s="158"/>
      <c r="G86" s="158"/>
      <c r="H86" s="158"/>
      <c r="I86" s="159"/>
      <c r="J86" s="160"/>
      <c r="K86" s="87"/>
      <c r="L86" s="160"/>
      <c r="M86" s="160"/>
      <c r="N86" s="160"/>
      <c r="O86" s="161"/>
    </row>
    <row r="87" spans="1:15" x14ac:dyDescent="0.25">
      <c r="A87" s="69"/>
      <c r="B87" s="69"/>
      <c r="C87" s="154"/>
      <c r="D87" s="66"/>
      <c r="E87" s="158"/>
      <c r="F87" s="158"/>
      <c r="G87" s="158"/>
      <c r="H87" s="158"/>
      <c r="I87" s="159"/>
      <c r="J87" s="160"/>
      <c r="K87" s="87"/>
      <c r="L87" s="160"/>
      <c r="M87" s="160"/>
      <c r="N87" s="160"/>
      <c r="O87" s="161"/>
    </row>
    <row r="88" spans="1:15" x14ac:dyDescent="0.25">
      <c r="A88" s="69"/>
      <c r="B88" s="69"/>
      <c r="C88" s="154"/>
      <c r="D88" s="66"/>
      <c r="E88" s="158"/>
      <c r="F88" s="158"/>
      <c r="G88" s="158"/>
      <c r="H88" s="158"/>
      <c r="I88" s="159"/>
      <c r="J88" s="160"/>
      <c r="K88" s="87"/>
      <c r="L88" s="160"/>
      <c r="M88" s="160"/>
      <c r="N88" s="160"/>
      <c r="O88" s="161"/>
    </row>
    <row r="89" spans="1:15" x14ac:dyDescent="0.25">
      <c r="A89" s="69"/>
      <c r="B89" s="69"/>
      <c r="C89" s="154"/>
      <c r="D89" s="66"/>
      <c r="E89" s="158"/>
      <c r="F89" s="158"/>
      <c r="G89" s="158"/>
      <c r="H89" s="158"/>
      <c r="I89" s="159"/>
      <c r="J89" s="160"/>
      <c r="K89" s="87"/>
      <c r="L89" s="160"/>
      <c r="M89" s="160"/>
      <c r="N89" s="160"/>
      <c r="O89" s="161"/>
    </row>
    <row r="90" spans="1:15" x14ac:dyDescent="0.25">
      <c r="A90" s="69"/>
      <c r="B90" s="69"/>
      <c r="C90" s="154"/>
      <c r="D90" s="66"/>
      <c r="E90" s="158"/>
      <c r="F90" s="158"/>
      <c r="G90" s="158"/>
      <c r="H90" s="158"/>
      <c r="I90" s="159"/>
      <c r="J90" s="160"/>
      <c r="K90" s="87"/>
      <c r="L90" s="160"/>
      <c r="M90" s="160"/>
      <c r="N90" s="160"/>
      <c r="O90" s="161"/>
    </row>
    <row r="91" spans="1:15" x14ac:dyDescent="0.25">
      <c r="A91" s="69"/>
      <c r="B91" s="69"/>
      <c r="C91" s="154"/>
      <c r="D91" s="66"/>
      <c r="E91" s="158"/>
      <c r="F91" s="158"/>
      <c r="G91" s="158"/>
      <c r="H91" s="158"/>
      <c r="I91" s="159"/>
      <c r="J91" s="160"/>
      <c r="K91" s="87"/>
      <c r="L91" s="160"/>
      <c r="M91" s="160"/>
      <c r="N91" s="160"/>
      <c r="O91" s="161"/>
    </row>
    <row r="92" spans="1:15" x14ac:dyDescent="0.25">
      <c r="A92" s="69"/>
      <c r="B92" s="69"/>
      <c r="C92" s="154"/>
      <c r="D92" s="66"/>
      <c r="E92" s="158"/>
      <c r="F92" s="158"/>
      <c r="G92" s="158"/>
      <c r="H92" s="158"/>
      <c r="I92" s="159"/>
      <c r="J92" s="160"/>
      <c r="K92" s="87"/>
      <c r="L92" s="160"/>
      <c r="M92" s="160"/>
      <c r="N92" s="160"/>
      <c r="O92" s="161"/>
    </row>
    <row r="93" spans="1:15" x14ac:dyDescent="0.25">
      <c r="A93" s="69"/>
      <c r="B93" s="69"/>
      <c r="C93" s="154"/>
      <c r="D93" s="66"/>
      <c r="E93" s="158"/>
      <c r="F93" s="158"/>
      <c r="G93" s="158"/>
      <c r="H93" s="158"/>
      <c r="I93" s="159"/>
      <c r="J93" s="160"/>
      <c r="K93" s="87"/>
      <c r="L93" s="160"/>
      <c r="M93" s="160"/>
      <c r="N93" s="160"/>
      <c r="O93" s="161"/>
    </row>
    <row r="94" spans="1:15" x14ac:dyDescent="0.25">
      <c r="A94" s="69"/>
      <c r="B94" s="69"/>
      <c r="C94" s="154"/>
      <c r="D94" s="66"/>
      <c r="E94" s="158"/>
      <c r="F94" s="158"/>
      <c r="G94" s="158"/>
      <c r="H94" s="158"/>
      <c r="I94" s="159"/>
      <c r="J94" s="160"/>
      <c r="K94" s="87"/>
      <c r="L94" s="160"/>
      <c r="M94" s="160"/>
      <c r="N94" s="160"/>
      <c r="O94" s="161"/>
    </row>
    <row r="95" spans="1:15" x14ac:dyDescent="0.25">
      <c r="A95" s="69"/>
      <c r="B95" s="69"/>
      <c r="C95" s="154"/>
      <c r="D95" s="66"/>
      <c r="E95" s="158"/>
      <c r="F95" s="158"/>
      <c r="G95" s="158"/>
      <c r="H95" s="158"/>
      <c r="I95" s="159"/>
      <c r="J95" s="160"/>
      <c r="K95" s="87"/>
      <c r="L95" s="160"/>
      <c r="M95" s="160"/>
      <c r="N95" s="160"/>
      <c r="O95" s="161"/>
    </row>
    <row r="96" spans="1:15" x14ac:dyDescent="0.25">
      <c r="A96" s="69"/>
      <c r="B96" s="69"/>
      <c r="C96" s="154"/>
      <c r="D96" s="66"/>
      <c r="E96" s="158"/>
      <c r="F96" s="158"/>
      <c r="G96" s="158"/>
      <c r="H96" s="158"/>
      <c r="I96" s="159"/>
      <c r="J96" s="160"/>
      <c r="K96" s="87"/>
      <c r="L96" s="160"/>
      <c r="M96" s="160"/>
      <c r="N96" s="160"/>
      <c r="O96" s="161"/>
    </row>
    <row r="97" spans="1:15" x14ac:dyDescent="0.25">
      <c r="A97" s="69"/>
      <c r="B97" s="69"/>
      <c r="C97" s="154"/>
      <c r="D97" s="66"/>
      <c r="E97" s="158"/>
      <c r="F97" s="158"/>
      <c r="G97" s="158"/>
      <c r="H97" s="158"/>
      <c r="I97" s="159"/>
      <c r="J97" s="160"/>
      <c r="K97" s="87"/>
      <c r="L97" s="160"/>
      <c r="M97" s="160"/>
      <c r="N97" s="160"/>
      <c r="O97" s="161"/>
    </row>
    <row r="98" spans="1:15" x14ac:dyDescent="0.25">
      <c r="A98" s="69"/>
      <c r="B98" s="69"/>
      <c r="C98" s="154"/>
      <c r="D98" s="66"/>
      <c r="E98" s="158"/>
      <c r="F98" s="158"/>
      <c r="G98" s="158"/>
      <c r="H98" s="158"/>
      <c r="I98" s="159"/>
      <c r="J98" s="160"/>
      <c r="K98" s="87"/>
      <c r="L98" s="160"/>
      <c r="M98" s="160"/>
      <c r="N98" s="160"/>
      <c r="O98" s="161"/>
    </row>
    <row r="99" spans="1:15" x14ac:dyDescent="0.25">
      <c r="A99" s="69"/>
      <c r="B99" s="69"/>
      <c r="C99" s="154"/>
      <c r="D99" s="66"/>
      <c r="E99" s="158"/>
      <c r="F99" s="158"/>
      <c r="G99" s="158"/>
      <c r="H99" s="158"/>
      <c r="I99" s="159"/>
      <c r="J99" s="160"/>
      <c r="K99" s="87"/>
      <c r="L99" s="160"/>
      <c r="M99" s="160"/>
      <c r="N99" s="160"/>
      <c r="O99" s="161"/>
    </row>
    <row r="100" spans="1:15" x14ac:dyDescent="0.25">
      <c r="A100" s="69"/>
      <c r="B100" s="69"/>
      <c r="C100" s="154"/>
      <c r="D100" s="66"/>
      <c r="E100" s="158"/>
      <c r="F100" s="158"/>
      <c r="G100" s="158"/>
      <c r="H100" s="158"/>
      <c r="I100" s="159"/>
      <c r="J100" s="160"/>
      <c r="K100" s="87"/>
      <c r="L100" s="160"/>
      <c r="M100" s="160"/>
      <c r="N100" s="160"/>
      <c r="O100" s="161"/>
    </row>
    <row r="101" spans="1:15" x14ac:dyDescent="0.25">
      <c r="A101" s="69"/>
      <c r="B101" s="69"/>
      <c r="C101" s="154"/>
      <c r="D101" s="66"/>
      <c r="E101" s="158"/>
      <c r="F101" s="158"/>
      <c r="G101" s="158"/>
      <c r="H101" s="158"/>
      <c r="I101" s="159"/>
      <c r="J101" s="160"/>
      <c r="K101" s="87"/>
      <c r="L101" s="160"/>
      <c r="M101" s="160"/>
      <c r="N101" s="160"/>
      <c r="O101" s="161"/>
    </row>
    <row r="102" spans="1:15" x14ac:dyDescent="0.25">
      <c r="A102" s="69"/>
      <c r="B102" s="69"/>
      <c r="C102" s="154"/>
      <c r="D102" s="66"/>
      <c r="E102" s="158"/>
      <c r="F102" s="158"/>
      <c r="G102" s="158"/>
      <c r="H102" s="158"/>
      <c r="I102" s="159"/>
      <c r="J102" s="160"/>
      <c r="K102" s="87"/>
      <c r="L102" s="160"/>
      <c r="M102" s="160"/>
      <c r="N102" s="160"/>
      <c r="O102" s="161"/>
    </row>
    <row r="103" spans="1:15" x14ac:dyDescent="0.25">
      <c r="A103" s="69"/>
      <c r="B103" s="69"/>
      <c r="C103" s="154"/>
      <c r="D103" s="66"/>
      <c r="E103" s="158"/>
      <c r="F103" s="158"/>
      <c r="G103" s="158"/>
      <c r="H103" s="158"/>
      <c r="I103" s="159"/>
      <c r="J103" s="160"/>
      <c r="K103" s="87"/>
      <c r="L103" s="160"/>
      <c r="M103" s="160"/>
      <c r="N103" s="160"/>
      <c r="O103" s="161"/>
    </row>
    <row r="104" spans="1:15" x14ac:dyDescent="0.25">
      <c r="A104" s="69"/>
      <c r="B104" s="69"/>
      <c r="C104" s="154"/>
      <c r="D104" s="66"/>
      <c r="E104" s="158"/>
      <c r="F104" s="158"/>
      <c r="G104" s="158"/>
      <c r="H104" s="158"/>
      <c r="I104" s="159"/>
      <c r="J104" s="160"/>
      <c r="K104" s="87"/>
      <c r="L104" s="160"/>
      <c r="M104" s="160"/>
      <c r="N104" s="160"/>
      <c r="O104" s="161"/>
    </row>
    <row r="105" spans="1:15" x14ac:dyDescent="0.25">
      <c r="A105" s="69"/>
      <c r="B105" s="69"/>
      <c r="C105" s="154"/>
      <c r="D105" s="66"/>
      <c r="E105" s="158"/>
      <c r="F105" s="158"/>
      <c r="G105" s="158"/>
      <c r="H105" s="158"/>
      <c r="I105" s="159"/>
      <c r="J105" s="160"/>
      <c r="K105" s="87"/>
      <c r="L105" s="160"/>
      <c r="M105" s="160"/>
      <c r="N105" s="160"/>
      <c r="O105" s="161"/>
    </row>
    <row r="106" spans="1:15" x14ac:dyDescent="0.25">
      <c r="A106" s="69"/>
      <c r="B106" s="69"/>
      <c r="C106" s="154"/>
      <c r="D106" s="66"/>
      <c r="E106" s="158"/>
      <c r="F106" s="158"/>
      <c r="G106" s="158"/>
      <c r="H106" s="158"/>
      <c r="I106" s="159"/>
      <c r="J106" s="160"/>
      <c r="K106" s="87"/>
      <c r="L106" s="160"/>
      <c r="M106" s="160"/>
      <c r="N106" s="160"/>
      <c r="O106" s="161"/>
    </row>
    <row r="107" spans="1:15" x14ac:dyDescent="0.25">
      <c r="A107" s="69"/>
      <c r="B107" s="69"/>
      <c r="C107" s="154"/>
      <c r="D107" s="66"/>
      <c r="E107" s="158"/>
      <c r="F107" s="158"/>
      <c r="G107" s="158"/>
      <c r="H107" s="158"/>
      <c r="I107" s="159"/>
      <c r="J107" s="160"/>
      <c r="K107" s="87"/>
      <c r="L107" s="160"/>
      <c r="M107" s="160"/>
      <c r="N107" s="160"/>
      <c r="O107" s="161"/>
    </row>
    <row r="108" spans="1:15" x14ac:dyDescent="0.25">
      <c r="A108" s="69"/>
      <c r="B108" s="69"/>
      <c r="C108" s="154"/>
      <c r="D108" s="66"/>
      <c r="E108" s="158"/>
      <c r="F108" s="158"/>
      <c r="G108" s="158"/>
      <c r="H108" s="158"/>
      <c r="I108" s="159"/>
      <c r="J108" s="160"/>
      <c r="K108" s="87"/>
      <c r="L108" s="160"/>
      <c r="M108" s="160"/>
      <c r="N108" s="160"/>
      <c r="O108" s="161"/>
    </row>
    <row r="109" spans="1:15" x14ac:dyDescent="0.25">
      <c r="A109" s="69"/>
      <c r="B109" s="69"/>
      <c r="C109" s="154"/>
      <c r="D109" s="66"/>
      <c r="E109" s="158"/>
      <c r="F109" s="158"/>
      <c r="G109" s="158"/>
      <c r="H109" s="158"/>
      <c r="I109" s="159"/>
      <c r="J109" s="160"/>
      <c r="K109" s="87"/>
      <c r="L109" s="160"/>
      <c r="M109" s="160"/>
      <c r="N109" s="160"/>
      <c r="O109" s="161"/>
    </row>
    <row r="110" spans="1:15" x14ac:dyDescent="0.25">
      <c r="A110" s="69"/>
      <c r="B110" s="69"/>
      <c r="C110" s="154"/>
      <c r="D110" s="66"/>
      <c r="E110" s="158"/>
      <c r="F110" s="158"/>
      <c r="G110" s="158"/>
      <c r="H110" s="158"/>
      <c r="I110" s="159"/>
      <c r="J110" s="160"/>
      <c r="K110" s="87"/>
      <c r="L110" s="160"/>
      <c r="M110" s="160"/>
      <c r="N110" s="160"/>
      <c r="O110" s="161"/>
    </row>
    <row r="111" spans="1:15" x14ac:dyDescent="0.25">
      <c r="A111" s="69"/>
      <c r="B111" s="69"/>
      <c r="C111" s="154"/>
      <c r="D111" s="66"/>
      <c r="E111" s="158"/>
      <c r="F111" s="158"/>
      <c r="G111" s="158"/>
      <c r="H111" s="158"/>
      <c r="I111" s="159"/>
      <c r="J111" s="160"/>
      <c r="K111" s="87"/>
      <c r="L111" s="160"/>
      <c r="M111" s="160"/>
      <c r="N111" s="160"/>
      <c r="O111" s="161"/>
    </row>
    <row r="112" spans="1:15" x14ac:dyDescent="0.25">
      <c r="A112" s="69"/>
      <c r="B112" s="69"/>
      <c r="C112" s="154"/>
      <c r="D112" s="66"/>
      <c r="E112" s="158"/>
      <c r="F112" s="158"/>
      <c r="G112" s="158"/>
      <c r="H112" s="158"/>
      <c r="I112" s="159"/>
      <c r="J112" s="160"/>
      <c r="K112" s="87"/>
      <c r="L112" s="160"/>
      <c r="M112" s="160"/>
      <c r="N112" s="160"/>
      <c r="O112" s="161"/>
    </row>
    <row r="113" spans="1:15" x14ac:dyDescent="0.25">
      <c r="A113" s="69"/>
      <c r="B113" s="69"/>
      <c r="C113" s="154"/>
      <c r="D113" s="66"/>
      <c r="E113" s="158"/>
      <c r="F113" s="158"/>
      <c r="G113" s="158"/>
      <c r="H113" s="158"/>
      <c r="I113" s="159"/>
      <c r="J113" s="160"/>
      <c r="K113" s="87"/>
      <c r="L113" s="160"/>
      <c r="M113" s="160"/>
      <c r="N113" s="160"/>
      <c r="O113" s="161"/>
    </row>
    <row r="114" spans="1:15" x14ac:dyDescent="0.25">
      <c r="A114" s="69"/>
      <c r="B114" s="69"/>
      <c r="C114" s="154"/>
      <c r="D114" s="66"/>
      <c r="E114" s="158"/>
      <c r="F114" s="158"/>
      <c r="G114" s="158"/>
      <c r="H114" s="158"/>
      <c r="I114" s="159"/>
      <c r="J114" s="160"/>
      <c r="K114" s="87"/>
      <c r="L114" s="160"/>
      <c r="M114" s="160"/>
      <c r="N114" s="160"/>
      <c r="O114" s="161"/>
    </row>
    <row r="115" spans="1:15" x14ac:dyDescent="0.25">
      <c r="A115" s="69"/>
      <c r="B115" s="69"/>
      <c r="C115" s="154"/>
      <c r="D115" s="66"/>
      <c r="E115" s="158"/>
      <c r="F115" s="158"/>
      <c r="G115" s="158"/>
      <c r="H115" s="158"/>
      <c r="I115" s="159"/>
      <c r="J115" s="160"/>
      <c r="K115" s="87"/>
      <c r="L115" s="160"/>
      <c r="M115" s="160"/>
      <c r="N115" s="160"/>
      <c r="O115" s="161"/>
    </row>
    <row r="116" spans="1:15" x14ac:dyDescent="0.25">
      <c r="A116" s="69"/>
      <c r="B116" s="69"/>
      <c r="C116" s="154"/>
      <c r="D116" s="66"/>
      <c r="E116" s="158"/>
      <c r="F116" s="158"/>
      <c r="G116" s="158"/>
      <c r="H116" s="158"/>
      <c r="I116" s="159"/>
      <c r="J116" s="160"/>
      <c r="K116" s="87"/>
      <c r="L116" s="160"/>
      <c r="M116" s="160"/>
      <c r="N116" s="160"/>
      <c r="O116" s="161"/>
    </row>
    <row r="117" spans="1:15" x14ac:dyDescent="0.25">
      <c r="A117" s="69"/>
      <c r="B117" s="69"/>
      <c r="C117" s="154"/>
      <c r="D117" s="66"/>
      <c r="E117" s="158"/>
      <c r="F117" s="158"/>
      <c r="G117" s="158"/>
      <c r="H117" s="158"/>
      <c r="I117" s="159"/>
      <c r="J117" s="160"/>
      <c r="K117" s="87"/>
      <c r="L117" s="160"/>
      <c r="M117" s="160"/>
      <c r="N117" s="160"/>
      <c r="O117" s="161"/>
    </row>
    <row r="118" spans="1:15" x14ac:dyDescent="0.25">
      <c r="A118" s="69"/>
      <c r="B118" s="69"/>
      <c r="C118" s="154"/>
      <c r="D118" s="66"/>
      <c r="E118" s="158"/>
      <c r="F118" s="158"/>
      <c r="G118" s="158"/>
      <c r="H118" s="158"/>
      <c r="I118" s="159"/>
      <c r="J118" s="160"/>
      <c r="K118" s="87"/>
      <c r="L118" s="160"/>
      <c r="M118" s="160"/>
      <c r="N118" s="160"/>
      <c r="O118" s="161"/>
    </row>
  </sheetData>
  <autoFilter ref="A3:X96" xr:uid="{00000000-0001-0000-0400-000000000000}"/>
  <mergeCells count="1">
    <mergeCell ref="A1:M1"/>
  </mergeCells>
  <conditionalFormatting sqref="J4:J2328">
    <cfRule type="expression" dxfId="1" priority="1">
      <formula>AND(COUNTA($L4,$M4,$N4)&gt;0,$J4&lt;&gt;SUM($L4:$N4))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 i kolonne N.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R4:R27 U4:U27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5"/>
  <sheetViews>
    <sheetView showGridLines="0" topLeftCell="A10" zoomScale="130" zoomScaleNormal="130" workbookViewId="0">
      <selection activeCell="B8" sqref="B8"/>
    </sheetView>
  </sheetViews>
  <sheetFormatPr baseColWidth="10" defaultColWidth="8.85546875" defaultRowHeight="15" x14ac:dyDescent="0.25"/>
  <cols>
    <col min="1" max="1" width="52" customWidth="1"/>
    <col min="2" max="2" width="22" customWidth="1"/>
    <col min="3" max="3" width="41.425781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0" t="s">
        <v>129</v>
      </c>
      <c r="B1" s="206"/>
      <c r="C1" s="206"/>
      <c r="D1" s="206"/>
    </row>
    <row r="2" spans="1:7" ht="20.100000000000001" customHeight="1" x14ac:dyDescent="0.25">
      <c r="A2" s="219" t="s">
        <v>130</v>
      </c>
      <c r="B2" s="206"/>
      <c r="C2" s="206"/>
      <c r="D2" s="206"/>
    </row>
    <row r="3" spans="1:7" ht="26.1" customHeight="1" x14ac:dyDescent="0.25">
      <c r="A3" s="41" t="s">
        <v>131</v>
      </c>
      <c r="B3" s="41" t="s">
        <v>132</v>
      </c>
      <c r="C3" s="41" t="s">
        <v>133</v>
      </c>
      <c r="D3" s="41" t="s">
        <v>121</v>
      </c>
    </row>
    <row r="4" spans="1:7" ht="20.100000000000001" customHeight="1" x14ac:dyDescent="0.25">
      <c r="A4" s="205" t="s">
        <v>134</v>
      </c>
      <c r="B4" s="206"/>
      <c r="C4" s="206"/>
      <c r="D4" s="206"/>
    </row>
    <row r="5" spans="1:7" ht="15.95" customHeight="1" x14ac:dyDescent="0.25">
      <c r="A5" s="42" t="s">
        <v>135</v>
      </c>
      <c r="B5" s="25">
        <f>IFERROR('3a. Økonomirapport 201'!$S$4,0)</f>
        <v>30021950</v>
      </c>
      <c r="C5" s="43" t="s">
        <v>136</v>
      </c>
      <c r="D5" s="44"/>
      <c r="G5" t="s">
        <v>137</v>
      </c>
    </row>
    <row r="6" spans="1:7" ht="15.95" customHeight="1" x14ac:dyDescent="0.25">
      <c r="A6" s="45" t="s">
        <v>138</v>
      </c>
      <c r="B6" s="25">
        <f>IFERROR('3a. Økonomirapport 201'!$S$5,0)</f>
        <v>6723955</v>
      </c>
      <c r="C6" s="46" t="s">
        <v>139</v>
      </c>
      <c r="D6" s="47" t="s">
        <v>140</v>
      </c>
    </row>
    <row r="7" spans="1:7" ht="15.95" customHeight="1" x14ac:dyDescent="0.25">
      <c r="A7" s="42" t="s">
        <v>141</v>
      </c>
      <c r="B7" s="25">
        <f>IFERROR('3a. Økonomirapport 201'!$S$6,0)</f>
        <v>4329474</v>
      </c>
      <c r="C7" s="43" t="s">
        <v>142</v>
      </c>
      <c r="D7" s="44"/>
    </row>
    <row r="8" spans="1:7" ht="15.95" customHeight="1" x14ac:dyDescent="0.25">
      <c r="A8" s="45" t="s">
        <v>143</v>
      </c>
      <c r="B8" s="25">
        <f>IFERROR(-(B6*(1+'0. Oppsett'!$C$11)),0)</f>
        <v>-7436694.2300000004</v>
      </c>
      <c r="D8" s="47"/>
    </row>
    <row r="9" spans="1:7" ht="15.95" customHeight="1" x14ac:dyDescent="0.25">
      <c r="A9" s="42" t="s">
        <v>144</v>
      </c>
      <c r="B9" s="25">
        <f>IFERROR('3a. Økonomirapport 201'!$S$7,0)</f>
        <v>591272</v>
      </c>
      <c r="C9" s="43" t="s">
        <v>145</v>
      </c>
      <c r="D9" s="44"/>
    </row>
    <row r="10" spans="1:7" ht="15.95" customHeight="1" x14ac:dyDescent="0.25">
      <c r="A10" s="45" t="s">
        <v>146</v>
      </c>
      <c r="B10" s="25">
        <f>IFERROR('3a. Økonomirapport 201'!$S$8,0)</f>
        <v>238028</v>
      </c>
      <c r="C10" s="46" t="s">
        <v>147</v>
      </c>
      <c r="D10" s="47"/>
    </row>
    <row r="11" spans="1:7" ht="15.95" customHeight="1" x14ac:dyDescent="0.25">
      <c r="A11" s="42" t="s">
        <v>148</v>
      </c>
      <c r="B11" s="25">
        <f>IFERROR('3a. Økonomirapport 201'!$S$9,0)</f>
        <v>-2113045</v>
      </c>
      <c r="C11" s="43" t="s">
        <v>149</v>
      </c>
      <c r="D11" s="44"/>
    </row>
    <row r="12" spans="1:7" ht="15.95" customHeight="1" x14ac:dyDescent="0.25">
      <c r="A12" s="45" t="s">
        <v>150</v>
      </c>
      <c r="B12" s="25">
        <f>IFERROR('3a. Økonomirapport 201'!$S$10,0)</f>
        <v>-238028</v>
      </c>
      <c r="C12" s="46" t="s">
        <v>151</v>
      </c>
      <c r="D12" s="47"/>
    </row>
    <row r="13" spans="1:7" ht="15.95" customHeight="1" x14ac:dyDescent="0.25">
      <c r="A13" s="42" t="s">
        <v>756</v>
      </c>
      <c r="B13" s="25">
        <f>IFERROR('3a. Økonomirapport 201'!$S$12,0)</f>
        <v>0</v>
      </c>
      <c r="C13" s="43" t="s">
        <v>153</v>
      </c>
      <c r="D13" s="44"/>
    </row>
    <row r="14" spans="1:7" ht="21.95" customHeight="1" thickBot="1" x14ac:dyDescent="0.3">
      <c r="A14" s="48" t="s">
        <v>154</v>
      </c>
      <c r="B14" s="49">
        <f>SUM(B5:B13)</f>
        <v>32116911.769999996</v>
      </c>
      <c r="C14" s="50"/>
      <c r="D14" s="50"/>
    </row>
    <row r="15" spans="1:7" ht="20.100000000000001" customHeight="1" x14ac:dyDescent="0.25">
      <c r="A15" s="209" t="s">
        <v>155</v>
      </c>
      <c r="B15" s="206"/>
      <c r="C15" s="206"/>
      <c r="D15" s="206"/>
    </row>
    <row r="16" spans="1:7" ht="15.95" customHeight="1" x14ac:dyDescent="0.25">
      <c r="A16" s="24" t="s">
        <v>156</v>
      </c>
      <c r="B16" s="25">
        <f>IFERROR('3b. Økonomirapport 221'!$S$4,0)</f>
        <v>394530</v>
      </c>
      <c r="C16" s="46" t="s">
        <v>136</v>
      </c>
      <c r="D16" s="47"/>
    </row>
    <row r="17" spans="1:4" ht="15.95" customHeight="1" x14ac:dyDescent="0.25">
      <c r="A17" s="42" t="s">
        <v>138</v>
      </c>
      <c r="B17" s="25">
        <f>IFERROR('3b. Økonomirapport 221'!$S$5,0)</f>
        <v>880149</v>
      </c>
      <c r="C17" s="43" t="s">
        <v>139</v>
      </c>
      <c r="D17" s="44"/>
    </row>
    <row r="18" spans="1:4" ht="15.95" customHeight="1" x14ac:dyDescent="0.25">
      <c r="A18" s="45" t="s">
        <v>141</v>
      </c>
      <c r="B18" s="25">
        <f>IFERROR('3b. Økonomirapport 221'!$S$6,0)</f>
        <v>170578</v>
      </c>
      <c r="C18" s="46" t="s">
        <v>142</v>
      </c>
      <c r="D18" s="47"/>
    </row>
    <row r="19" spans="1:4" ht="15.95" customHeight="1" x14ac:dyDescent="0.25">
      <c r="A19" s="45" t="s">
        <v>143</v>
      </c>
      <c r="B19" s="25">
        <f>IFERROR(-(B17*(1+'0. Oppsett'!$C$11)),0)</f>
        <v>-973444.79400000011</v>
      </c>
      <c r="C19" s="46"/>
      <c r="D19" s="47"/>
    </row>
    <row r="20" spans="1:4" ht="15.95" customHeight="1" x14ac:dyDescent="0.25">
      <c r="A20" s="45" t="s">
        <v>144</v>
      </c>
      <c r="B20" s="25">
        <f>IFERROR('3b. Økonomirapport 221'!$S$7,0)</f>
        <v>1315484</v>
      </c>
      <c r="C20" s="46" t="s">
        <v>145</v>
      </c>
      <c r="D20" s="47"/>
    </row>
    <row r="21" spans="1:4" ht="15.95" customHeight="1" x14ac:dyDescent="0.25">
      <c r="A21" s="42" t="s">
        <v>146</v>
      </c>
      <c r="B21" s="25">
        <f>IFERROR('3b. Økonomirapport 221'!S8,0)</f>
        <v>287455</v>
      </c>
      <c r="C21" s="43" t="s">
        <v>147</v>
      </c>
      <c r="D21" s="44"/>
    </row>
    <row r="22" spans="1:4" ht="15.95" customHeight="1" x14ac:dyDescent="0.25">
      <c r="A22" s="110" t="s">
        <v>157</v>
      </c>
      <c r="B22" s="25">
        <f>IFERROR('3b. Økonomirapport 221'!S9,0)</f>
        <v>-3021</v>
      </c>
      <c r="C22" s="46" t="s">
        <v>149</v>
      </c>
      <c r="D22" s="47"/>
    </row>
    <row r="23" spans="1:4" ht="15.95" customHeight="1" x14ac:dyDescent="0.25">
      <c r="A23" s="42" t="s">
        <v>150</v>
      </c>
      <c r="B23" s="25">
        <f>IFERROR('3b. Økonomirapport 221'!S10,0)</f>
        <v>-287455</v>
      </c>
      <c r="C23" s="43" t="s">
        <v>151</v>
      </c>
      <c r="D23" s="44"/>
    </row>
    <row r="24" spans="1:4" ht="15.95" customHeight="1" x14ac:dyDescent="0.25">
      <c r="A24" s="45" t="s">
        <v>158</v>
      </c>
      <c r="B24" s="34">
        <v>0</v>
      </c>
      <c r="C24" s="46" t="s">
        <v>159</v>
      </c>
      <c r="D24" s="136" t="s">
        <v>740</v>
      </c>
    </row>
    <row r="25" spans="1:4" ht="21.95" customHeight="1" x14ac:dyDescent="0.25">
      <c r="A25" s="48" t="s">
        <v>161</v>
      </c>
      <c r="B25" s="49">
        <f>SUM(B16:B24)</f>
        <v>1784275.2059999998</v>
      </c>
      <c r="C25" s="50"/>
      <c r="D25" s="50"/>
    </row>
    <row r="26" spans="1:4" ht="20.100000000000001" customHeight="1" x14ac:dyDescent="0.25">
      <c r="A26" s="209" t="s">
        <v>162</v>
      </c>
      <c r="B26" s="206"/>
      <c r="C26" s="206"/>
      <c r="D26" s="206"/>
    </row>
    <row r="27" spans="1:4" ht="15.95" customHeight="1" x14ac:dyDescent="0.25">
      <c r="A27" s="42" t="s">
        <v>163</v>
      </c>
      <c r="B27" s="34">
        <v>40926</v>
      </c>
      <c r="C27" s="43" t="s">
        <v>1027</v>
      </c>
      <c r="D27" s="136" t="s">
        <v>740</v>
      </c>
    </row>
    <row r="28" spans="1:4" ht="15.95" customHeight="1" x14ac:dyDescent="0.25">
      <c r="A28" s="45" t="s">
        <v>164</v>
      </c>
      <c r="B28" s="34">
        <v>0</v>
      </c>
      <c r="C28" s="46"/>
      <c r="D28" s="136" t="s">
        <v>740</v>
      </c>
    </row>
    <row r="29" spans="1:4" ht="15.95" customHeight="1" x14ac:dyDescent="0.25">
      <c r="A29" s="42" t="s">
        <v>165</v>
      </c>
      <c r="B29" s="34">
        <v>0</v>
      </c>
      <c r="C29" s="43"/>
      <c r="D29" s="136" t="s">
        <v>740</v>
      </c>
    </row>
    <row r="30" spans="1:4" ht="15.95" customHeight="1" x14ac:dyDescent="0.25">
      <c r="A30" s="45" t="s">
        <v>166</v>
      </c>
      <c r="B30" s="34">
        <v>0</v>
      </c>
      <c r="C30" s="46"/>
      <c r="D30" s="136" t="s">
        <v>740</v>
      </c>
    </row>
    <row r="31" spans="1:4" ht="15.95" customHeight="1" x14ac:dyDescent="0.25">
      <c r="A31" s="109" t="s">
        <v>167</v>
      </c>
      <c r="B31" s="34">
        <v>0</v>
      </c>
      <c r="C31" s="43"/>
      <c r="D31" s="136" t="s">
        <v>740</v>
      </c>
    </row>
    <row r="32" spans="1:4" ht="15.95" customHeight="1" x14ac:dyDescent="0.25">
      <c r="A32" s="110" t="s">
        <v>756</v>
      </c>
      <c r="B32" s="34">
        <v>0</v>
      </c>
      <c r="C32" s="46"/>
      <c r="D32" s="136" t="s">
        <v>740</v>
      </c>
    </row>
    <row r="33" spans="1:4" ht="21.95" customHeight="1" x14ac:dyDescent="0.25">
      <c r="A33" s="48" t="s">
        <v>168</v>
      </c>
      <c r="B33" s="49">
        <f>IFERROR(SUM(B27,B28,B29,B30,B31,B32),0)</f>
        <v>40926</v>
      </c>
      <c r="C33" s="50"/>
      <c r="D33" s="50"/>
    </row>
    <row r="34" spans="1:4" ht="21.95" customHeight="1" x14ac:dyDescent="0.25">
      <c r="A34" s="51" t="s">
        <v>169</v>
      </c>
      <c r="B34" s="52">
        <f>IFERROR(B14+B25+B33,0)</f>
        <v>33942112.975999996</v>
      </c>
    </row>
    <row r="35" spans="1:4" ht="15.95" customHeight="1" x14ac:dyDescent="0.25">
      <c r="A35" s="36" t="s">
        <v>170</v>
      </c>
      <c r="B35" s="25">
        <f>IFERROR(B34*'0. Oppsett'!$C$12,0)</f>
        <v>1595279.3098719998</v>
      </c>
      <c r="C35" s="53">
        <f>'0. Oppsett'!$C$12</f>
        <v>4.7E-2</v>
      </c>
    </row>
    <row r="36" spans="1:4" ht="21.95" customHeight="1" x14ac:dyDescent="0.25">
      <c r="A36" s="51" t="s">
        <v>171</v>
      </c>
      <c r="B36" s="52">
        <f>IFERROR(B34+B35,0)</f>
        <v>35537392.285871997</v>
      </c>
      <c r="C36" s="136"/>
    </row>
    <row r="37" spans="1:4" ht="21.95" customHeight="1" x14ac:dyDescent="0.25">
      <c r="A37" s="168" t="s">
        <v>772</v>
      </c>
      <c r="B37" s="169">
        <f>$B$36*(1+'0. Oppsett'!$C$13)</f>
        <v>36994425.369592749</v>
      </c>
      <c r="C37" s="170" t="s">
        <v>774</v>
      </c>
    </row>
    <row r="38" spans="1:4" ht="21.95" customHeight="1" x14ac:dyDescent="0.25">
      <c r="A38" s="168" t="s">
        <v>773</v>
      </c>
      <c r="B38" s="169">
        <f>$B$37*(1+'0. Oppsett'!$C$14)</f>
        <v>38252235.832158901</v>
      </c>
      <c r="C38" s="170" t="s">
        <v>775</v>
      </c>
    </row>
    <row r="39" spans="1:4" ht="20.100000000000001" customHeight="1" x14ac:dyDescent="0.25"/>
    <row r="40" spans="1:4" ht="15.95" customHeight="1" x14ac:dyDescent="0.25">
      <c r="A40" s="218" t="s">
        <v>172</v>
      </c>
      <c r="B40" s="206"/>
      <c r="C40" s="206"/>
      <c r="D40" s="206"/>
    </row>
    <row r="41" spans="1:4" ht="15.95" customHeight="1" x14ac:dyDescent="0.25">
      <c r="A41" s="48" t="s">
        <v>765</v>
      </c>
      <c r="B41" s="56">
        <f>(SUMIFS(BasilRadata[Heltidsplasser
0-2],BasilRadata[1A. Kommunenr:],'0. Oppsett'!$C$5,BasilRadata[1D. Barnehagetype:],'0. Oppsett'!$C$6,BasilRadata[2A. Barnehagens eier(Private eiere må fylle ut pkt.C):],"Kommune",BasilRadata[År],'0. Oppsett'!$C$9)*5/12)+(SUMIFS(BasilRadata[Heltidsplasser
0-2],BasilRadata[1A. Kommunenr:],'0. Oppsett'!$C$5,BasilRadata[1D. Barnehagetype:],'0. Oppsett'!$C$6,BasilRadata[2A. Barnehagens eier(Private eiere må fylle ut pkt.C):],"Kommune",BasilRadata[År],'0. Oppsett'!$C$10)*7/12)</f>
        <v>68.616683333333327</v>
      </c>
      <c r="C41" s="54" t="s">
        <v>794</v>
      </c>
    </row>
    <row r="42" spans="1:4" x14ac:dyDescent="0.25">
      <c r="A42" s="48" t="s">
        <v>766</v>
      </c>
      <c r="B42" s="56">
        <f>(SUMIFS(BasilRadata[Heltidsplasser
3-6],BasilRadata[1A. Kommunenr:],'0. Oppsett'!$C$5,BasilRadata[1D. Barnehagetype:],'0. Oppsett'!$C$6,BasilRadata[2A. Barnehagens eier(Private eiere må fylle ut pkt.C):],"Kommune",BasilRadata[År],'0. Oppsett'!$C$9)*5/12)+(SUMIFS(BasilRadata[Heltidsplasser
3-6],BasilRadata[1A. Kommunenr:],'0. Oppsett'!$C$5,BasilRadata[1D. Barnehagetype:],'0. Oppsett'!$C$6,BasilRadata[2A. Barnehagens eier(Private eiere må fylle ut pkt.C):],"Kommune",BasilRadata[År],'0. Oppsett'!$C$10)*7/12)</f>
        <v>109.08519166666667</v>
      </c>
    </row>
    <row r="43" spans="1:4" ht="20.100000000000001" customHeight="1" x14ac:dyDescent="0.25">
      <c r="A43" s="55" t="s">
        <v>173</v>
      </c>
      <c r="B43" s="56">
        <f>IFERROR(B41*1.8+B42,0)</f>
        <v>232.59522166666665</v>
      </c>
    </row>
    <row r="44" spans="1:4" ht="24" customHeight="1" x14ac:dyDescent="0.25">
      <c r="A44" s="55" t="s">
        <v>174</v>
      </c>
      <c r="B44" s="57">
        <f>IFERROR(B41*1.8/B43,0)</f>
        <v>0.53100845801984198</v>
      </c>
    </row>
    <row r="45" spans="1:4" ht="24" customHeight="1" x14ac:dyDescent="0.25">
      <c r="A45" s="55" t="s">
        <v>175</v>
      </c>
      <c r="B45" s="57">
        <f>IFERROR(B42/B43,0)</f>
        <v>0.46899154198015813</v>
      </c>
    </row>
    <row r="46" spans="1:4" ht="15.95" customHeight="1" x14ac:dyDescent="0.25"/>
    <row r="47" spans="1:4" ht="15.95" customHeight="1" x14ac:dyDescent="0.25">
      <c r="A47" s="218" t="s">
        <v>176</v>
      </c>
      <c r="B47" s="206"/>
      <c r="C47" s="206"/>
      <c r="D47" s="206"/>
    </row>
    <row r="48" spans="1:4" ht="15.95" customHeight="1" x14ac:dyDescent="0.25">
      <c r="A48" s="42" t="s">
        <v>738</v>
      </c>
      <c r="B48" s="25">
        <f>IFERROR(B41*('0. Oppsett'!$C$15),0)</f>
        <v>528348.46166666667</v>
      </c>
      <c r="C48" s="43"/>
      <c r="D48" s="132"/>
    </row>
    <row r="49" spans="1:4" x14ac:dyDescent="0.25">
      <c r="A49" s="45" t="s">
        <v>739</v>
      </c>
      <c r="B49" s="25">
        <f>IFERROR(B42*('0. Oppsett'!$C$15),0)</f>
        <v>839955.97583333345</v>
      </c>
      <c r="C49" s="46"/>
      <c r="D49" s="47"/>
    </row>
    <row r="50" spans="1:4" x14ac:dyDescent="0.25">
      <c r="A50" s="110" t="s">
        <v>737</v>
      </c>
      <c r="B50" s="25">
        <f>'3a. Økonomirapport 201'!$S$11*-1</f>
        <v>27394</v>
      </c>
      <c r="C50" s="46"/>
      <c r="D50" s="47"/>
    </row>
    <row r="51" spans="1:4" ht="20.100000000000001" customHeight="1" x14ac:dyDescent="0.25">
      <c r="A51" s="42" t="s">
        <v>731</v>
      </c>
      <c r="B51" s="25">
        <f>IFERROR(B38*B44,0)</f>
        <v>20312260.765046045</v>
      </c>
      <c r="C51" s="43"/>
      <c r="D51" s="44"/>
    </row>
    <row r="52" spans="1:4" ht="15.95" customHeight="1" x14ac:dyDescent="0.25">
      <c r="A52" s="45" t="s">
        <v>732</v>
      </c>
      <c r="B52" s="25">
        <f>IFERROR(B38*B45,0)</f>
        <v>17939975.067112859</v>
      </c>
      <c r="C52" s="46"/>
      <c r="D52" s="47"/>
    </row>
    <row r="53" spans="1:4" ht="15.95" customHeight="1" x14ac:dyDescent="0.25"/>
    <row r="54" spans="1:4" ht="15.95" customHeight="1" thickBot="1" x14ac:dyDescent="0.3">
      <c r="A54" s="58" t="s">
        <v>179</v>
      </c>
      <c r="B54" s="59">
        <f>IFERROR((($B$51-$B$48)+(-$B$50*($B$41/($B$41+$B$42))))/$B$41,0)</f>
        <v>288170.9461329499</v>
      </c>
    </row>
    <row r="55" spans="1:4" ht="15.95" customHeight="1" thickBot="1" x14ac:dyDescent="0.3">
      <c r="A55" s="58" t="s">
        <v>180</v>
      </c>
      <c r="B55" s="59">
        <f>IFERROR((($B$52-$B$49)+(-$B$50*($B$42/($B$41+$B$42))))/$B$42,0)</f>
        <v>156604.23359926464</v>
      </c>
    </row>
  </sheetData>
  <mergeCells count="7">
    <mergeCell ref="A47:D47"/>
    <mergeCell ref="A2:D2"/>
    <mergeCell ref="A1:D1"/>
    <mergeCell ref="A15:D15"/>
    <mergeCell ref="A40:D40"/>
    <mergeCell ref="A4:D4"/>
    <mergeCell ref="A26:D26"/>
  </mergeCells>
  <pageMargins left="0.75" right="0.75" top="1" bottom="1" header="0.5" footer="0.5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379F77-A774-4617-ADA0-900F2E3D29CC}">
          <x14:formula1>
            <xm:f>Metadata!$P$4:$P$26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16F2-421F-4C10-9850-136221C92E16}">
  <dimension ref="A2:C18"/>
  <sheetViews>
    <sheetView workbookViewId="0">
      <selection activeCell="E33" sqref="E33"/>
    </sheetView>
  </sheetViews>
  <sheetFormatPr baseColWidth="10" defaultColWidth="10.85546875" defaultRowHeight="15" x14ac:dyDescent="0.25"/>
  <cols>
    <col min="1" max="1" width="13.42578125" customWidth="1"/>
    <col min="2" max="2" width="34.42578125" customWidth="1"/>
    <col min="3" max="3" width="12.7109375" bestFit="1" customWidth="1"/>
  </cols>
  <sheetData>
    <row r="2" spans="1:3" x14ac:dyDescent="0.25">
      <c r="A2" s="202" t="s">
        <v>1041</v>
      </c>
    </row>
    <row r="4" spans="1:3" x14ac:dyDescent="0.25">
      <c r="A4" s="198" t="s">
        <v>890</v>
      </c>
      <c r="B4" s="199" t="s">
        <v>1029</v>
      </c>
      <c r="C4" s="199"/>
    </row>
    <row r="5" spans="1:3" x14ac:dyDescent="0.25">
      <c r="A5" t="s">
        <v>1030</v>
      </c>
      <c r="B5">
        <v>20</v>
      </c>
    </row>
    <row r="6" spans="1:3" x14ac:dyDescent="0.25">
      <c r="A6" t="s">
        <v>1031</v>
      </c>
      <c r="B6">
        <v>16</v>
      </c>
      <c r="C6" s="200" t="s">
        <v>1032</v>
      </c>
    </row>
    <row r="7" spans="1:3" x14ac:dyDescent="0.25">
      <c r="A7" t="s">
        <v>1033</v>
      </c>
      <c r="B7">
        <v>0</v>
      </c>
    </row>
    <row r="8" spans="1:3" x14ac:dyDescent="0.25">
      <c r="A8" t="s">
        <v>1034</v>
      </c>
      <c r="B8">
        <v>11</v>
      </c>
    </row>
    <row r="9" spans="1:3" x14ac:dyDescent="0.25">
      <c r="A9" s="201" t="s">
        <v>1035</v>
      </c>
      <c r="B9" s="201">
        <v>5</v>
      </c>
    </row>
    <row r="10" spans="1:3" x14ac:dyDescent="0.25">
      <c r="A10" s="202" t="s">
        <v>1036</v>
      </c>
      <c r="B10" s="202">
        <v>52</v>
      </c>
    </row>
    <row r="11" spans="1:3" ht="15.75" thickBot="1" x14ac:dyDescent="0.3"/>
    <row r="12" spans="1:3" ht="15.75" thickBot="1" x14ac:dyDescent="0.3">
      <c r="A12" t="s">
        <v>1037</v>
      </c>
      <c r="B12" s="203">
        <v>782.88</v>
      </c>
      <c r="C12" s="204">
        <v>40709.760000000002</v>
      </c>
    </row>
    <row r="14" spans="1:3" x14ac:dyDescent="0.25">
      <c r="A14" t="s">
        <v>1038</v>
      </c>
    </row>
    <row r="15" spans="1:3" ht="15.75" thickBot="1" x14ac:dyDescent="0.3">
      <c r="A15" s="202">
        <f>B5+B8+B9</f>
        <v>36</v>
      </c>
      <c r="B15" t="s">
        <v>1039</v>
      </c>
    </row>
    <row r="16" spans="1:3" ht="15.75" thickBot="1" x14ac:dyDescent="0.3">
      <c r="B16" s="203">
        <v>6</v>
      </c>
      <c r="C16" s="204">
        <v>216</v>
      </c>
    </row>
    <row r="17" spans="1:3" ht="15.75" thickBot="1" x14ac:dyDescent="0.3"/>
    <row r="18" spans="1:3" ht="15.75" thickBot="1" x14ac:dyDescent="0.3">
      <c r="A18" s="202" t="s">
        <v>1040</v>
      </c>
      <c r="B18" s="202"/>
      <c r="C18" s="204">
        <v>40925.760000000002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H54"/>
  <sheetViews>
    <sheetView showGridLines="0" topLeftCell="A9" workbookViewId="0">
      <selection activeCell="B11" sqref="B11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41.42578125" bestFit="1" customWidth="1"/>
    <col min="5" max="5" width="30" customWidth="1"/>
  </cols>
  <sheetData>
    <row r="1" spans="1:8" ht="27.95" customHeight="1" x14ac:dyDescent="0.25">
      <c r="A1" s="220" t="s">
        <v>181</v>
      </c>
      <c r="B1" s="220"/>
      <c r="C1" s="220"/>
      <c r="D1" s="220"/>
      <c r="E1" s="220"/>
    </row>
    <row r="2" spans="1:8" ht="20.100000000000001" customHeight="1" x14ac:dyDescent="0.25">
      <c r="A2" s="219" t="s">
        <v>130</v>
      </c>
      <c r="B2" s="219"/>
      <c r="C2" s="219"/>
      <c r="D2" s="219"/>
      <c r="E2" s="219"/>
    </row>
    <row r="3" spans="1:8" ht="26.1" customHeight="1" x14ac:dyDescent="0.25">
      <c r="A3" s="41" t="s">
        <v>131</v>
      </c>
      <c r="B3" s="41" t="s">
        <v>182</v>
      </c>
      <c r="C3" s="41" t="s">
        <v>183</v>
      </c>
      <c r="D3" s="41" t="s">
        <v>133</v>
      </c>
      <c r="E3" s="41" t="s">
        <v>121</v>
      </c>
    </row>
    <row r="4" spans="1:8" ht="20.100000000000001" customHeight="1" x14ac:dyDescent="0.25">
      <c r="A4" s="205" t="s">
        <v>134</v>
      </c>
      <c r="B4" s="205"/>
      <c r="C4" s="205"/>
      <c r="D4" s="205"/>
      <c r="E4" s="205"/>
    </row>
    <row r="5" spans="1:8" ht="15.95" customHeight="1" x14ac:dyDescent="0.25">
      <c r="A5" s="42" t="s">
        <v>135</v>
      </c>
      <c r="B5" s="25">
        <f>IFERROR('3a. Økonomirapport 201'!V4,0)</f>
        <v>0</v>
      </c>
      <c r="C5" s="25">
        <f>IFERROR('3a. Økonomirapport 201'!$W4,0)</f>
        <v>0</v>
      </c>
      <c r="D5" s="43" t="s">
        <v>136</v>
      </c>
      <c r="E5" s="44"/>
      <c r="H5" t="s">
        <v>137</v>
      </c>
    </row>
    <row r="6" spans="1:8" ht="15.95" customHeight="1" x14ac:dyDescent="0.25">
      <c r="A6" s="45" t="s">
        <v>138</v>
      </c>
      <c r="B6" s="25">
        <f>IFERROR('3a. Økonomirapport 201'!V5,0)</f>
        <v>0</v>
      </c>
      <c r="C6" s="25">
        <f>IFERROR('3a. Økonomirapport 201'!W5,0)</f>
        <v>0</v>
      </c>
      <c r="D6" s="46" t="s">
        <v>139</v>
      </c>
      <c r="E6" s="47" t="s">
        <v>140</v>
      </c>
    </row>
    <row r="7" spans="1:8" ht="15.95" customHeight="1" x14ac:dyDescent="0.25">
      <c r="A7" s="42" t="s">
        <v>141</v>
      </c>
      <c r="B7" s="25">
        <f>IFERROR('3a. Økonomirapport 201'!V6,0)</f>
        <v>0</v>
      </c>
      <c r="C7" s="25">
        <f>IFERROR('3a. Økonomirapport 201'!W6,0)</f>
        <v>0</v>
      </c>
      <c r="D7" s="43" t="s">
        <v>142</v>
      </c>
      <c r="E7" s="44"/>
    </row>
    <row r="8" spans="1:8" ht="15.95" customHeight="1" x14ac:dyDescent="0.25">
      <c r="A8" s="45" t="s">
        <v>143</v>
      </c>
      <c r="B8" s="25">
        <f>IFERROR('3a. Økonomirapport 201'!V7,0)</f>
        <v>0</v>
      </c>
      <c r="C8" s="25">
        <f>IFERROR('3a. Økonomirapport 201'!W7,0)</f>
        <v>0</v>
      </c>
      <c r="E8" s="47"/>
    </row>
    <row r="9" spans="1:8" ht="15.95" customHeight="1" x14ac:dyDescent="0.25">
      <c r="A9" s="42" t="s">
        <v>144</v>
      </c>
      <c r="B9" s="25">
        <f>IFERROR('3a. Økonomirapport 201'!V8,0)</f>
        <v>0</v>
      </c>
      <c r="C9" s="25">
        <f>IFERROR('3a. Økonomirapport 201'!W8,0)</f>
        <v>0</v>
      </c>
      <c r="D9" s="43" t="s">
        <v>145</v>
      </c>
      <c r="E9" s="44"/>
    </row>
    <row r="10" spans="1:8" ht="15.95" customHeight="1" x14ac:dyDescent="0.25">
      <c r="A10" s="45" t="s">
        <v>146</v>
      </c>
      <c r="B10" s="25">
        <f>IFERROR('3a. Økonomirapport 201'!V9,0)</f>
        <v>0</v>
      </c>
      <c r="C10" s="25">
        <f>IFERROR('3a. Økonomirapport 201'!W9,0)</f>
        <v>0</v>
      </c>
      <c r="D10" s="46" t="s">
        <v>147</v>
      </c>
      <c r="E10" s="47"/>
    </row>
    <row r="11" spans="1:8" ht="15.95" customHeight="1" x14ac:dyDescent="0.25">
      <c r="A11" s="42" t="s">
        <v>148</v>
      </c>
      <c r="B11" s="25">
        <f>IFERROR('3a. Økonomirapport 201'!V10,0)</f>
        <v>0</v>
      </c>
      <c r="C11" s="25">
        <f>IFERROR('3a. Økonomirapport 201'!W10,0)</f>
        <v>0</v>
      </c>
      <c r="D11" s="43" t="s">
        <v>149</v>
      </c>
      <c r="E11" s="44"/>
    </row>
    <row r="12" spans="1:8" ht="15.95" customHeight="1" x14ac:dyDescent="0.25">
      <c r="A12" s="45" t="s">
        <v>150</v>
      </c>
      <c r="B12" s="25">
        <f>IFERROR('3a. Økonomirapport 201'!V11,0)</f>
        <v>0</v>
      </c>
      <c r="C12" s="25">
        <f>IFERROR('3a. Økonomirapport 201'!W11,0)</f>
        <v>0</v>
      </c>
      <c r="D12" s="46" t="s">
        <v>151</v>
      </c>
      <c r="E12" s="47"/>
    </row>
    <row r="13" spans="1:8" ht="15.95" customHeight="1" x14ac:dyDescent="0.25">
      <c r="A13" s="42" t="s">
        <v>152</v>
      </c>
      <c r="B13" s="25">
        <f>IFERROR('3a. Økonomirapport 201'!V12,0)</f>
        <v>0</v>
      </c>
      <c r="C13" s="25">
        <f>IFERROR('3a. Økonomirapport 201'!W12,0)</f>
        <v>0</v>
      </c>
      <c r="D13" s="43" t="s">
        <v>153</v>
      </c>
      <c r="E13" s="44"/>
    </row>
    <row r="14" spans="1:8" ht="21.95" customHeight="1" thickBot="1" x14ac:dyDescent="0.3">
      <c r="A14" s="48" t="s">
        <v>154</v>
      </c>
      <c r="B14" s="49">
        <f>SUM(B5:B13)</f>
        <v>0</v>
      </c>
      <c r="C14" s="49">
        <f>SUM(C5:C13)</f>
        <v>0</v>
      </c>
      <c r="D14" s="50"/>
      <c r="E14" s="50"/>
    </row>
    <row r="15" spans="1:8" ht="20.100000000000001" customHeight="1" x14ac:dyDescent="0.25">
      <c r="A15" s="209" t="s">
        <v>155</v>
      </c>
      <c r="B15" s="209"/>
      <c r="C15" s="209"/>
      <c r="D15" s="209"/>
      <c r="E15" s="209"/>
    </row>
    <row r="16" spans="1:8" ht="15.95" customHeight="1" x14ac:dyDescent="0.25">
      <c r="A16" s="24" t="s">
        <v>156</v>
      </c>
      <c r="B16" s="25">
        <f>IFERROR('3b. Økonomirapport 221'!$V$4,0)</f>
        <v>0</v>
      </c>
      <c r="C16" s="25">
        <f>IFERROR('3b. Økonomirapport 221'!$W$4,0)</f>
        <v>0</v>
      </c>
      <c r="D16" s="46" t="s">
        <v>136</v>
      </c>
      <c r="E16" s="47"/>
    </row>
    <row r="17" spans="1:5" ht="15.95" customHeight="1" x14ac:dyDescent="0.25">
      <c r="A17" s="42" t="s">
        <v>138</v>
      </c>
      <c r="B17" s="25">
        <f>IFERROR('3b. Økonomirapport 221'!V5,0)</f>
        <v>0</v>
      </c>
      <c r="C17" s="25">
        <f>IFERROR('3b. Økonomirapport 221'!W6,0)</f>
        <v>0</v>
      </c>
      <c r="D17" s="43" t="s">
        <v>139</v>
      </c>
      <c r="E17" s="44"/>
    </row>
    <row r="18" spans="1:5" ht="15.95" customHeight="1" x14ac:dyDescent="0.25">
      <c r="A18" s="45" t="s">
        <v>141</v>
      </c>
      <c r="B18" s="25">
        <f>IFERROR('3b. Økonomirapport 221'!V6,0)</f>
        <v>0</v>
      </c>
      <c r="C18" s="25">
        <f>IFERROR('3b. Økonomirapport 221'!W7,0)</f>
        <v>0</v>
      </c>
      <c r="D18" s="46" t="s">
        <v>142</v>
      </c>
      <c r="E18" s="47"/>
    </row>
    <row r="19" spans="1:5" ht="15.95" customHeight="1" x14ac:dyDescent="0.25">
      <c r="A19" s="45" t="s">
        <v>143</v>
      </c>
      <c r="B19" s="25">
        <f>IFERROR(-(B17*(1+'0. Oppsett'!$C$11)),0)</f>
        <v>0</v>
      </c>
      <c r="C19" s="25">
        <f>IFERROR(-(C17*(1+'0. Oppsett'!$C$11)),0)</f>
        <v>0</v>
      </c>
      <c r="D19" s="46"/>
      <c r="E19" s="47"/>
    </row>
    <row r="20" spans="1:5" ht="15.95" customHeight="1" x14ac:dyDescent="0.25">
      <c r="A20" s="45" t="s">
        <v>144</v>
      </c>
      <c r="B20" s="25">
        <f>IFERROR('3b. Økonomirapport 221'!V7,0)</f>
        <v>0</v>
      </c>
      <c r="C20" s="25">
        <f>IFERROR('3b. Økonomirapport 221'!W8,0)</f>
        <v>0</v>
      </c>
      <c r="D20" s="46" t="s">
        <v>145</v>
      </c>
      <c r="E20" s="47"/>
    </row>
    <row r="21" spans="1:5" ht="15.95" customHeight="1" x14ac:dyDescent="0.25">
      <c r="A21" s="42" t="s">
        <v>146</v>
      </c>
      <c r="B21" s="25">
        <f>IFERROR('3b. Økonomirapport 221'!V8,0)</f>
        <v>0</v>
      </c>
      <c r="C21" s="25">
        <f>IFERROR('3b. Økonomirapport 221'!W9,0)</f>
        <v>0</v>
      </c>
      <c r="D21" s="43" t="s">
        <v>147</v>
      </c>
      <c r="E21" s="44"/>
    </row>
    <row r="22" spans="1:5" ht="15.95" customHeight="1" x14ac:dyDescent="0.25">
      <c r="A22" s="45" t="s">
        <v>148</v>
      </c>
      <c r="B22" s="25">
        <f>IFERROR('3b. Økonomirapport 221'!V9,0)</f>
        <v>0</v>
      </c>
      <c r="C22" s="25">
        <f>IFERROR('3b. Økonomirapport 221'!W10,0)</f>
        <v>0</v>
      </c>
      <c r="D22" s="46" t="s">
        <v>149</v>
      </c>
      <c r="E22" s="47"/>
    </row>
    <row r="23" spans="1:5" ht="15.95" customHeight="1" x14ac:dyDescent="0.25">
      <c r="A23" s="42" t="s">
        <v>150</v>
      </c>
      <c r="B23" s="25">
        <f>IFERROR('3b. Økonomirapport 221'!V10,0)</f>
        <v>0</v>
      </c>
      <c r="C23" s="25">
        <f>IFERROR('3b. Økonomirapport 221'!W11,0)</f>
        <v>0</v>
      </c>
      <c r="D23" s="43" t="s">
        <v>151</v>
      </c>
      <c r="E23" s="44"/>
    </row>
    <row r="24" spans="1:5" ht="15.95" customHeight="1" x14ac:dyDescent="0.25">
      <c r="A24" s="45" t="s">
        <v>158</v>
      </c>
      <c r="B24" s="34">
        <v>0</v>
      </c>
      <c r="C24" s="34">
        <v>1</v>
      </c>
      <c r="D24" s="46" t="s">
        <v>159</v>
      </c>
      <c r="E24" s="47" t="s">
        <v>160</v>
      </c>
    </row>
    <row r="25" spans="1:5" ht="21.95" customHeight="1" thickBot="1" x14ac:dyDescent="0.3">
      <c r="A25" s="48" t="s">
        <v>161</v>
      </c>
      <c r="B25" s="49">
        <f>SUM(B16:B24)</f>
        <v>0</v>
      </c>
      <c r="C25" s="49">
        <f>SUM(C16:C24)</f>
        <v>1</v>
      </c>
      <c r="D25" s="50"/>
      <c r="E25" s="50"/>
    </row>
    <row r="26" spans="1:5" ht="20.100000000000001" customHeight="1" x14ac:dyDescent="0.25">
      <c r="A26" s="209" t="s">
        <v>162</v>
      </c>
      <c r="B26" s="209"/>
      <c r="C26" s="209"/>
      <c r="D26" s="209"/>
      <c r="E26" s="209"/>
    </row>
    <row r="27" spans="1:5" ht="15.95" customHeight="1" x14ac:dyDescent="0.25">
      <c r="A27" s="42" t="s">
        <v>163</v>
      </c>
      <c r="B27" s="34">
        <v>0</v>
      </c>
      <c r="C27" s="34"/>
      <c r="D27" s="43"/>
      <c r="E27" s="44" t="s">
        <v>160</v>
      </c>
    </row>
    <row r="28" spans="1:5" ht="15.95" customHeight="1" x14ac:dyDescent="0.25">
      <c r="A28" s="45" t="s">
        <v>164</v>
      </c>
      <c r="B28" s="34">
        <v>0</v>
      </c>
      <c r="C28" s="34"/>
      <c r="D28" s="46"/>
      <c r="E28" s="47" t="s">
        <v>160</v>
      </c>
    </row>
    <row r="29" spans="1:5" ht="15.95" customHeight="1" x14ac:dyDescent="0.25">
      <c r="A29" s="42" t="s">
        <v>165</v>
      </c>
      <c r="B29" s="34">
        <v>0</v>
      </c>
      <c r="C29" s="34"/>
      <c r="D29" s="43"/>
      <c r="E29" s="44" t="s">
        <v>160</v>
      </c>
    </row>
    <row r="30" spans="1:5" ht="15.95" customHeight="1" x14ac:dyDescent="0.25">
      <c r="A30" s="45" t="s">
        <v>166</v>
      </c>
      <c r="B30" s="34">
        <v>0</v>
      </c>
      <c r="C30" s="34"/>
      <c r="D30" s="46"/>
      <c r="E30" s="44" t="s">
        <v>160</v>
      </c>
    </row>
    <row r="31" spans="1:5" ht="15.95" customHeight="1" x14ac:dyDescent="0.25">
      <c r="A31" s="42" t="s">
        <v>184</v>
      </c>
      <c r="B31" s="34">
        <v>0</v>
      </c>
      <c r="C31" s="34"/>
      <c r="D31" s="43"/>
      <c r="E31" s="44" t="s">
        <v>160</v>
      </c>
    </row>
    <row r="32" spans="1:5" ht="15.95" customHeight="1" x14ac:dyDescent="0.25">
      <c r="A32" s="45" t="s">
        <v>185</v>
      </c>
      <c r="B32" s="34">
        <v>0</v>
      </c>
      <c r="C32" s="34"/>
      <c r="D32" s="46"/>
      <c r="E32" s="44" t="s">
        <v>160</v>
      </c>
    </row>
    <row r="33" spans="1:5" ht="21.95" customHeight="1" thickBot="1" x14ac:dyDescent="0.3">
      <c r="A33" s="48" t="s">
        <v>168</v>
      </c>
      <c r="B33" s="49">
        <f>IFERROR(SUM(B27,B28,B29,B30,B31,B32),0)</f>
        <v>0</v>
      </c>
      <c r="C33" s="107"/>
      <c r="D33" s="50"/>
      <c r="E33" s="50"/>
    </row>
    <row r="34" spans="1:5" ht="21.95" customHeight="1" x14ac:dyDescent="0.25">
      <c r="A34" s="51" t="s">
        <v>169</v>
      </c>
      <c r="B34" s="52">
        <f>IFERROR(B14+B25+B33,0)</f>
        <v>0</v>
      </c>
      <c r="C34" s="52">
        <f>IFERROR(C14+C25+C33,0)</f>
        <v>1</v>
      </c>
    </row>
    <row r="35" spans="1:5" ht="15.95" customHeight="1" x14ac:dyDescent="0.25">
      <c r="A35" s="36" t="s">
        <v>170</v>
      </c>
      <c r="B35" s="25">
        <f>IFERROR(B34*'0. Oppsett'!$C$12,0)</f>
        <v>0</v>
      </c>
      <c r="C35" s="25">
        <f>IFERROR(C34*'0. Oppsett'!$C$12,0)</f>
        <v>4.7E-2</v>
      </c>
      <c r="D35" s="53">
        <f>'0. Oppsett'!$C$12</f>
        <v>4.7E-2</v>
      </c>
    </row>
    <row r="36" spans="1:5" ht="21.95" customHeight="1" x14ac:dyDescent="0.25">
      <c r="A36" s="51" t="s">
        <v>171</v>
      </c>
      <c r="B36" s="52">
        <f>IFERROR(B34+B35,0)</f>
        <v>0</v>
      </c>
      <c r="C36" s="52">
        <f>IFERROR(C34+C35,0)</f>
        <v>1.0469999999999999</v>
      </c>
    </row>
    <row r="37" spans="1:5" ht="21.95" customHeight="1" x14ac:dyDescent="0.25">
      <c r="A37" s="168" t="s">
        <v>772</v>
      </c>
      <c r="B37" s="169">
        <f>$B$36*(1+'0. Oppsett'!$C$13)</f>
        <v>0</v>
      </c>
      <c r="C37" s="170" t="s">
        <v>774</v>
      </c>
    </row>
    <row r="38" spans="1:5" ht="21.95" customHeight="1" x14ac:dyDescent="0.25">
      <c r="A38" s="168" t="s">
        <v>773</v>
      </c>
      <c r="B38" s="169">
        <f>$B$37*(1+'0. Oppsett'!$C$14)</f>
        <v>0</v>
      </c>
      <c r="C38" s="170" t="s">
        <v>775</v>
      </c>
    </row>
    <row r="39" spans="1:5" ht="20.100000000000001" customHeight="1" x14ac:dyDescent="0.25"/>
    <row r="40" spans="1:5" ht="15.95" customHeight="1" x14ac:dyDescent="0.25">
      <c r="A40" s="218" t="s">
        <v>186</v>
      </c>
      <c r="B40" s="218"/>
      <c r="C40" s="218"/>
      <c r="D40" s="218"/>
      <c r="E40" s="218"/>
    </row>
    <row r="41" spans="1:5" ht="15.95" customHeight="1" x14ac:dyDescent="0.25">
      <c r="A41" s="48" t="s">
        <v>765</v>
      </c>
      <c r="B41" s="124"/>
      <c r="C41" s="124"/>
      <c r="D41" s="54" t="s">
        <v>794</v>
      </c>
      <c r="E41" t="s">
        <v>741</v>
      </c>
    </row>
    <row r="42" spans="1:5" ht="15.75" x14ac:dyDescent="0.25">
      <c r="A42" s="48" t="s">
        <v>766</v>
      </c>
      <c r="B42" s="124"/>
      <c r="C42" s="124"/>
      <c r="E42" t="s">
        <v>741</v>
      </c>
    </row>
    <row r="43" spans="1:5" ht="20.100000000000001" customHeight="1" x14ac:dyDescent="0.25">
      <c r="A43" s="55" t="s">
        <v>173</v>
      </c>
      <c r="B43" s="56">
        <f>IFERROR(B41*1.8+B42,0)</f>
        <v>0</v>
      </c>
      <c r="C43" s="56">
        <f>IFERROR(C41*1.8+C42,0)</f>
        <v>0</v>
      </c>
    </row>
    <row r="44" spans="1:5" ht="24" customHeight="1" x14ac:dyDescent="0.25">
      <c r="A44" s="55" t="s">
        <v>174</v>
      </c>
      <c r="B44" s="57">
        <f>IFERROR(B41*1.8/B43,0)</f>
        <v>0</v>
      </c>
      <c r="C44" s="57">
        <f>IFERROR(C41*1.8/C43,0)</f>
        <v>0</v>
      </c>
    </row>
    <row r="45" spans="1:5" ht="24" customHeight="1" x14ac:dyDescent="0.25">
      <c r="A45" s="55" t="s">
        <v>175</v>
      </c>
      <c r="B45" s="57">
        <f>IFERROR(B42/B43,0)</f>
        <v>0</v>
      </c>
      <c r="C45" s="57">
        <f>IFERROR(C42/C43,0)</f>
        <v>0</v>
      </c>
    </row>
    <row r="46" spans="1:5" ht="15.95" customHeight="1" x14ac:dyDescent="0.25"/>
    <row r="47" spans="1:5" ht="15.95" customHeight="1" x14ac:dyDescent="0.25">
      <c r="A47" s="221" t="s">
        <v>742</v>
      </c>
      <c r="B47" s="218"/>
      <c r="C47" s="218"/>
      <c r="D47" s="218"/>
      <c r="E47" s="218"/>
    </row>
    <row r="48" spans="1:5" ht="20.100000000000001" customHeight="1" x14ac:dyDescent="0.25">
      <c r="A48" s="42" t="s">
        <v>177</v>
      </c>
      <c r="B48" s="25">
        <f>IFERROR(B36*B44,0)</f>
        <v>0</v>
      </c>
      <c r="C48" s="25">
        <f>IFERROR(C36*C44,0)</f>
        <v>0</v>
      </c>
      <c r="D48" s="43"/>
      <c r="E48" s="44"/>
    </row>
    <row r="49" spans="1:5" ht="15.95" customHeight="1" x14ac:dyDescent="0.25">
      <c r="A49" s="45" t="s">
        <v>178</v>
      </c>
      <c r="B49" s="25">
        <f>IFERROR(B38*B45,0)</f>
        <v>0</v>
      </c>
      <c r="C49" s="25">
        <f>IFERROR(C36*C45,0)</f>
        <v>0</v>
      </c>
      <c r="D49" s="46"/>
      <c r="E49" s="47"/>
    </row>
    <row r="50" spans="1:5" ht="15.95" customHeight="1" x14ac:dyDescent="0.25">
      <c r="A50" s="120"/>
      <c r="B50" s="121"/>
      <c r="C50" s="121"/>
      <c r="D50" s="122"/>
      <c r="E50" s="123"/>
    </row>
    <row r="51" spans="1:5" ht="15.95" customHeight="1" x14ac:dyDescent="0.25">
      <c r="A51" s="120"/>
      <c r="B51" s="121"/>
      <c r="C51" s="121"/>
      <c r="D51" s="122"/>
      <c r="E51" s="123"/>
    </row>
    <row r="52" spans="1:5" ht="15.95" customHeight="1" x14ac:dyDescent="0.25">
      <c r="B52" t="s">
        <v>187</v>
      </c>
      <c r="C52" t="s">
        <v>187</v>
      </c>
    </row>
    <row r="53" spans="1:5" ht="15.95" customHeight="1" thickBot="1" x14ac:dyDescent="0.3">
      <c r="A53" s="58" t="s">
        <v>188</v>
      </c>
      <c r="B53" s="59">
        <f>IFERROR((B48)/B41,0)</f>
        <v>0</v>
      </c>
      <c r="C53" s="59">
        <f>IFERROR((C48)/C41,0)</f>
        <v>0</v>
      </c>
    </row>
    <row r="54" spans="1:5" ht="15.95" customHeight="1" thickBot="1" x14ac:dyDescent="0.3">
      <c r="A54" s="58" t="s">
        <v>189</v>
      </c>
      <c r="B54" s="59">
        <f>IFERROR((B49)/B42,0)</f>
        <v>0</v>
      </c>
      <c r="C54" s="59">
        <f>IFERROR((C49)/C42,0)</f>
        <v>0</v>
      </c>
    </row>
  </sheetData>
  <mergeCells count="7">
    <mergeCell ref="A40:E40"/>
    <mergeCell ref="A47:E47"/>
    <mergeCell ref="A1:E1"/>
    <mergeCell ref="A2:E2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I225"/>
  <sheetViews>
    <sheetView workbookViewId="0">
      <selection activeCell="G5" sqref="G5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9" x14ac:dyDescent="0.25">
      <c r="A1" s="92" t="s">
        <v>60</v>
      </c>
      <c r="B1" s="92"/>
      <c r="C1" s="92"/>
      <c r="D1" s="92"/>
      <c r="E1" s="92"/>
      <c r="F1" s="92"/>
      <c r="G1" s="92"/>
      <c r="H1" s="92"/>
      <c r="I1" s="92"/>
    </row>
    <row r="2" spans="1:9" x14ac:dyDescent="0.25">
      <c r="A2" s="222" t="s">
        <v>726</v>
      </c>
      <c r="B2" s="223"/>
      <c r="C2" s="223"/>
      <c r="D2" s="223"/>
      <c r="E2" s="223"/>
      <c r="F2" s="223"/>
      <c r="G2" s="223"/>
      <c r="H2" s="223"/>
      <c r="I2" s="223"/>
    </row>
    <row r="3" spans="1:9" ht="21" customHeight="1" x14ac:dyDescent="0.25">
      <c r="A3" s="224" t="s">
        <v>61</v>
      </c>
      <c r="B3" s="206"/>
      <c r="C3" s="206"/>
      <c r="E3" s="225" t="s">
        <v>62</v>
      </c>
      <c r="F3" s="226"/>
      <c r="G3" s="226"/>
      <c r="H3" s="226"/>
      <c r="I3" s="227"/>
    </row>
    <row r="4" spans="1:9" ht="90" x14ac:dyDescent="0.25">
      <c r="A4" s="10" t="s">
        <v>57</v>
      </c>
      <c r="B4" s="10" t="s">
        <v>55</v>
      </c>
      <c r="C4" s="10" t="s">
        <v>58</v>
      </c>
      <c r="D4" s="10"/>
      <c r="E4" s="5" t="s">
        <v>63</v>
      </c>
      <c r="F4" s="5" t="s">
        <v>64</v>
      </c>
      <c r="G4" s="5" t="s">
        <v>65</v>
      </c>
      <c r="H4" s="5" t="s">
        <v>779</v>
      </c>
      <c r="I4" s="5" t="s">
        <v>778</v>
      </c>
    </row>
    <row r="5" spans="1:9" ht="15.75" thickBot="1" x14ac:dyDescent="0.3">
      <c r="A5" s="17">
        <v>1</v>
      </c>
      <c r="B5" s="149" cm="1">
        <f t="array" ref="B5">_xlfn.UNIQUE('1.B BASIL-resultatregnskap'!C3:C200)</f>
        <v>0</v>
      </c>
      <c r="C5" s="18" cm="1">
        <f t="array" ref="C5">_xlfn.UNIQUE('1.B BASIL-resultatregnskap'!B3:B200)</f>
        <v>0</v>
      </c>
      <c r="D5" s="18" t="str">
        <f>IFERROR(_xlfn.XLOOKUP($C5,factPensjon[Virksomhetsnr.],factPensjon[Forpliktelser]),"")</f>
        <v/>
      </c>
      <c r="E5" s="27" t="s">
        <v>783</v>
      </c>
      <c r="F5" s="28">
        <f>IFERROR(IF(E5="A",'0. Oppsett'!$C$23,IF(E5="B",'0. Oppsett'!$C$24,IF(E5="C",'0. Oppsett'!$C$25,""))),"")</f>
        <v>0.05</v>
      </c>
      <c r="G5" s="20">
        <f>SUMIFS(BasilRadata[8E. Oppgi antall årsverk barnehagen har pensjonsforpliktelser for:],'1. BASIL-rådata'!$I$3:$I$500,'X. Satser pensjonstilskudd'!$C5,BasilRadata[År],'0. Oppsett'!$C$8)</f>
        <v>0</v>
      </c>
      <c r="H5" s="29" t="e">
        <f>(((SUMIFS('1.B BASIL-resultatregnskap'!I:I,'1.B BASIL-resultatregnskap'!B:B,'X. Satser pensjonstilskudd'!$C5,'1.B BASIL-resultatregnskap'!A:A,'0. Oppsett'!$C$9)))*(1+'0. Oppsett'!$C$13)*(1+'0. Oppsett'!$C$14)/G5)</f>
        <v>#DIV/0!</v>
      </c>
      <c r="I5" s="30" t="e">
        <f>IF(OR(E5="",H5="",NOT(AND(ISNUMBER(F5),ISNUMBER(H5)))),"",H5*F5*(1+'0. Oppsett'!$C$11))</f>
        <v>#DIV/0!</v>
      </c>
    </row>
    <row r="6" spans="1:9" ht="15.75" thickBot="1" x14ac:dyDescent="0.3">
      <c r="A6" s="21">
        <v>2</v>
      </c>
      <c r="B6" s="36"/>
      <c r="C6" s="18"/>
      <c r="D6" s="18" t="str">
        <f>IFERROR(_xlfn.XLOOKUP($C6,factPensjon[Virksomhetsnr.],factPensjon[Forpliktelser]),"")</f>
        <v/>
      </c>
      <c r="E6" s="27" t="s">
        <v>66</v>
      </c>
      <c r="F6" s="28">
        <f>IFERROR(IF(E6="A",'0. Oppsett'!$C$23,IF(E6="B",'0. Oppsett'!$C$24,IF(E6="C",'0. Oppsett'!$C$25,""))),"")</f>
        <v>0.08</v>
      </c>
      <c r="G6" s="20">
        <f>SUMIFS(BasilRadata[8E. Oppgi antall årsverk barnehagen har pensjonsforpliktelser for:],'1. BASIL-rådata'!$I$3:$I$500,'X. Satser pensjonstilskudd'!$C6,BasilRadata[År],'0. Oppsett'!$C$8)</f>
        <v>0</v>
      </c>
      <c r="H6" s="29" t="e">
        <f>((SUMIFS('1.B BASIL-resultatregnskap'!I:I,'1.B BASIL-resultatregnskap'!B:B,'X. Satser pensjonstilskudd'!$C6,'1.B BASIL-resultatregnskap'!A:A,'0. Oppsett'!$C$9)))*(1+'0. Oppsett'!$C$13)*(1+'0. Oppsett'!$C$14)/G6</f>
        <v>#DIV/0!</v>
      </c>
      <c r="I6" s="30" t="e">
        <f>IF(OR(E6="",H6="",NOT(AND(ISNUMBER(F6),ISNUMBER(H6)))),"",H6*F6*(1+'0. Oppsett'!$C$11))</f>
        <v>#DIV/0!</v>
      </c>
    </row>
    <row r="7" spans="1:9" ht="15.75" thickBot="1" x14ac:dyDescent="0.3">
      <c r="A7" s="17">
        <v>3</v>
      </c>
      <c r="B7" s="36"/>
      <c r="C7" s="18"/>
      <c r="D7" s="18" t="str">
        <f>IFERROR(_xlfn.XLOOKUP($C7,factPensjon[Virksomhetsnr.],factPensjon[Forpliktelser]),"")</f>
        <v/>
      </c>
      <c r="E7" s="27" t="s">
        <v>67</v>
      </c>
      <c r="F7" s="28">
        <f>IFERROR(IF(E7="A",'0. Oppsett'!$C$23,IF(E7="B",'0. Oppsett'!$C$24,IF(E7="C",'0. Oppsett'!$C$25,""))),"")</f>
        <v>0.11</v>
      </c>
      <c r="G7" s="20">
        <f>SUMIFS(BasilRadata[8E. Oppgi antall årsverk barnehagen har pensjonsforpliktelser for:],'1. BASIL-rådata'!$I$3:$I$500,'X. Satser pensjonstilskudd'!$C7,BasilRadata[År],'0. Oppsett'!$C$8)</f>
        <v>0</v>
      </c>
      <c r="H7" s="29" t="e">
        <f>((SUMIFS('1.B BASIL-resultatregnskap'!I:I,'1.B BASIL-resultatregnskap'!B:B,'X. Satser pensjonstilskudd'!$C7,'1.B BASIL-resultatregnskap'!A:A,'0. Oppsett'!$C$9)))*(1+'0. Oppsett'!$C$13)*(1+'0. Oppsett'!$C$14)/G7</f>
        <v>#DIV/0!</v>
      </c>
      <c r="I7" s="30" t="e">
        <f>IF(OR(E7="",H7="",NOT(AND(ISNUMBER(F7),ISNUMBER(H7)))),"",H7*F7*(1+'0. Oppsett'!$C$11))</f>
        <v>#DIV/0!</v>
      </c>
    </row>
    <row r="8" spans="1:9" ht="15.75" thickBot="1" x14ac:dyDescent="0.3">
      <c r="A8" s="21">
        <v>4</v>
      </c>
      <c r="B8" s="36"/>
      <c r="C8" s="18"/>
      <c r="D8" s="18" t="str">
        <f>IFERROR(_xlfn.XLOOKUP($C8,factPensjon[Virksomhetsnr.],factPensjon[Forpliktelser]),"")</f>
        <v/>
      </c>
      <c r="E8" s="27" t="s">
        <v>67</v>
      </c>
      <c r="F8" s="28">
        <f>IFERROR(IF(E8="A",'0. Oppsett'!$C$23,IF(E8="B",'0. Oppsett'!$C$24,IF(E8="C",'0. Oppsett'!$C$25,""))),"")</f>
        <v>0.11</v>
      </c>
      <c r="G8" s="20">
        <f>SUMIFS(BasilRadata[8E. Oppgi antall årsverk barnehagen har pensjonsforpliktelser for:],'1. BASIL-rådata'!$I$3:$I$500,'X. Satser pensjonstilskudd'!$C8,BasilRadata[År],'0. Oppsett'!$C$8)</f>
        <v>0</v>
      </c>
      <c r="H8" s="29" t="e">
        <f>((SUMIFS('1.B BASIL-resultatregnskap'!I:I,'1.B BASIL-resultatregnskap'!B:B,'X. Satser pensjonstilskudd'!$C8,'1.B BASIL-resultatregnskap'!A:A,'0. Oppsett'!$C$9)))*(1+'0. Oppsett'!$C$13)*(1+'0. Oppsett'!$C$14)/G8</f>
        <v>#DIV/0!</v>
      </c>
      <c r="I8" s="30" t="e">
        <f>IF(OR(E8="",H8="",NOT(AND(ISNUMBER(F8),ISNUMBER(H8)))),"",H8*F8*(1+'0. Oppsett'!$C$11))</f>
        <v>#DIV/0!</v>
      </c>
    </row>
    <row r="9" spans="1:9" ht="15.75" thickBot="1" x14ac:dyDescent="0.3">
      <c r="A9" s="17">
        <v>5</v>
      </c>
      <c r="B9" s="36"/>
      <c r="C9" s="18"/>
      <c r="D9" s="18" t="str">
        <f>IFERROR(_xlfn.XLOOKUP($C9,factPensjon[Virksomhetsnr.],factPensjon[Forpliktelser]),"")</f>
        <v/>
      </c>
      <c r="E9" s="27" t="s">
        <v>67</v>
      </c>
      <c r="F9" s="28">
        <f>IFERROR(IF(E9="A",'0. Oppsett'!$C$23,IF(E9="B",'0. Oppsett'!$C$24,IF(E9="C",'0. Oppsett'!$C$25,""))),"")</f>
        <v>0.11</v>
      </c>
      <c r="G9" s="20">
        <f>SUMIFS(BasilRadata[8E. Oppgi antall årsverk barnehagen har pensjonsforpliktelser for:],'1. BASIL-rådata'!$I$3:$I$500,'X. Satser pensjonstilskudd'!$C9,BasilRadata[År],'0. Oppsett'!$C$8)</f>
        <v>0</v>
      </c>
      <c r="H9" s="29" t="e">
        <f>((SUMIFS('1.B BASIL-resultatregnskap'!I:I,'1.B BASIL-resultatregnskap'!B:B,'X. Satser pensjonstilskudd'!$C9,'1.B BASIL-resultatregnskap'!A:A,'0. Oppsett'!$C$9)))*(1+'0. Oppsett'!$C$13)*(1+'0. Oppsett'!$C$14)/G9</f>
        <v>#DIV/0!</v>
      </c>
      <c r="I9" s="30" t="e">
        <f>IF(OR(E9="",H9="",NOT(AND(ISNUMBER(F9),ISNUMBER(H9)))),"",H9*F9*(1+'0. Oppsett'!$C$11))</f>
        <v>#DIV/0!</v>
      </c>
    </row>
    <row r="10" spans="1:9" ht="15.75" thickBot="1" x14ac:dyDescent="0.3">
      <c r="A10" s="21">
        <v>6</v>
      </c>
      <c r="B10" s="36"/>
      <c r="C10" s="18"/>
      <c r="D10" s="18" t="str">
        <f>IFERROR(_xlfn.XLOOKUP($C10,factPensjon[Virksomhetsnr.],factPensjon[Forpliktelser]),"")</f>
        <v/>
      </c>
      <c r="E10" s="27" t="s">
        <v>67</v>
      </c>
      <c r="F10" s="28">
        <f>IFERROR(IF(E10="A",'0. Oppsett'!$C$23,IF(E10="B",'0. Oppsett'!$C$24,IF(E10="C",'0. Oppsett'!$C$25,""))),"")</f>
        <v>0.11</v>
      </c>
      <c r="G10" s="20">
        <f>SUMIFS(BasilRadata[8E. Oppgi antall årsverk barnehagen har pensjonsforpliktelser for:],'1. BASIL-rådata'!$I$3:$I$500,'X. Satser pensjonstilskudd'!$C10,BasilRadata[År],'0. Oppsett'!$C$8)</f>
        <v>0</v>
      </c>
      <c r="H10" s="29" t="e">
        <f>((SUMIFS('1.B BASIL-resultatregnskap'!I:I,'1.B BASIL-resultatregnskap'!B:B,'X. Satser pensjonstilskudd'!$C10,'1.B BASIL-resultatregnskap'!A:A,'0. Oppsett'!$C$9)))*(1+'0. Oppsett'!$C$13)*(1+'0. Oppsett'!$C$14)/G10</f>
        <v>#DIV/0!</v>
      </c>
      <c r="I10" s="30" t="e">
        <f>IF(OR(E10="",H10="",NOT(AND(ISNUMBER(F10),ISNUMBER(H10)))),"",H10*F10*(1+'0. Oppsett'!$C$11))</f>
        <v>#DIV/0!</v>
      </c>
    </row>
    <row r="11" spans="1:9" ht="15.75" thickBot="1" x14ac:dyDescent="0.3">
      <c r="A11" s="17">
        <v>7</v>
      </c>
      <c r="B11" s="36"/>
      <c r="C11" s="18"/>
      <c r="D11" s="18" t="str">
        <f>IFERROR(_xlfn.XLOOKUP($C11,factPensjon[Virksomhetsnr.],factPensjon[Forpliktelser]),"")</f>
        <v/>
      </c>
      <c r="E11" s="27"/>
      <c r="F11" s="28" t="str">
        <f>IFERROR(IF(E11="A",'0. Oppsett'!$C$23,IF(E11="B",'0. Oppsett'!$C$24,IF(E11="C",'0. Oppsett'!$C$25,""))),"")</f>
        <v/>
      </c>
      <c r="G11" s="20">
        <f>SUMIFS(BasilRadata[8E. Oppgi antall årsverk barnehagen har pensjonsforpliktelser for:],'1. BASIL-rådata'!$I$3:$I$500,'X. Satser pensjonstilskudd'!$C11,BasilRadata[År],'0. Oppsett'!$C$8)</f>
        <v>0</v>
      </c>
      <c r="H11" s="29"/>
      <c r="I11" s="30" t="str">
        <f>IF(OR(E11="",H11="",NOT(AND(ISNUMBER(F11),ISNUMBER(H11)))),"",H11*F11*(1+'0. Oppsett'!$C$11))</f>
        <v/>
      </c>
    </row>
    <row r="12" spans="1:9" ht="15.75" thickBot="1" x14ac:dyDescent="0.3">
      <c r="A12" s="21">
        <v>8</v>
      </c>
      <c r="B12" s="36"/>
      <c r="C12" s="18"/>
      <c r="D12" s="18" t="str">
        <f>IFERROR(_xlfn.XLOOKUP($C12,factPensjon[Virksomhetsnr.],factPensjon[Forpliktelser]),"")</f>
        <v/>
      </c>
      <c r="E12" s="27"/>
      <c r="F12" s="28" t="str">
        <f>IFERROR(IF(E12="A",'0. Oppsett'!$C$23,IF(E12="B",'0. Oppsett'!$C$24,IF(E12="C",'0. Oppsett'!$C$25,""))),"")</f>
        <v/>
      </c>
      <c r="G12" s="20">
        <f>SUMIFS(BasilRadata[8E. Oppgi antall årsverk barnehagen har pensjonsforpliktelser for:],'1. BASIL-rådata'!$I$3:$I$500,'X. Satser pensjonstilskudd'!$C12,BasilRadata[År],'0. Oppsett'!$C$8)</f>
        <v>0</v>
      </c>
      <c r="H12" s="29"/>
      <c r="I12" s="30" t="str">
        <f>IF(OR(E12="",H12="",NOT(AND(ISNUMBER(F12),ISNUMBER(H12)))),"",H12*F12*(1+'0. Oppsett'!$C$11))</f>
        <v/>
      </c>
    </row>
    <row r="13" spans="1:9" ht="15.75" thickBot="1" x14ac:dyDescent="0.3">
      <c r="A13" s="17">
        <v>9</v>
      </c>
      <c r="B13" s="36"/>
      <c r="C13" s="18"/>
      <c r="D13" s="18" t="str">
        <f>IFERROR(_xlfn.XLOOKUP($C13,factPensjon[Virksomhetsnr.],factPensjon[Forpliktelser]),"")</f>
        <v/>
      </c>
      <c r="E13" s="27"/>
      <c r="F13" s="28" t="str">
        <f>IFERROR(IF(E13="A",'0. Oppsett'!$C$23,IF(E13="B",'0. Oppsett'!$C$24,IF(E13="C",'0. Oppsett'!$C$25,""))),"")</f>
        <v/>
      </c>
      <c r="G13" s="20">
        <f>SUMIFS(BasilRadata[8E. Oppgi antall årsverk barnehagen har pensjonsforpliktelser for:],'1. BASIL-rådata'!$I$3:$I$500,'X. Satser pensjonstilskudd'!$C13,BasilRadata[År],'0. Oppsett'!$C$8)</f>
        <v>0</v>
      </c>
      <c r="H13" s="29"/>
      <c r="I13" s="30" t="str">
        <f>IF(OR(E13="",H13="",NOT(AND(ISNUMBER(F13),ISNUMBER(H13)))),"",H13*F13*(1+'0. Oppsett'!$C$11))</f>
        <v/>
      </c>
    </row>
    <row r="14" spans="1:9" ht="15.75" thickBot="1" x14ac:dyDescent="0.3">
      <c r="A14" s="21">
        <v>10</v>
      </c>
      <c r="B14" s="36"/>
      <c r="C14" s="18"/>
      <c r="D14" s="18" t="str">
        <f>IFERROR(_xlfn.XLOOKUP($C14,factPensjon[Virksomhetsnr.],factPensjon[Forpliktelser]),"")</f>
        <v/>
      </c>
      <c r="E14" s="27"/>
      <c r="F14" s="28" t="str">
        <f>IFERROR(IF(E14="A",'0. Oppsett'!$C$23,IF(E14="B",'0. Oppsett'!$C$24,IF(E14="C",'0. Oppsett'!$C$25,""))),"")</f>
        <v/>
      </c>
      <c r="G14" s="20">
        <f>SUMIFS(BasilRadata[8E. Oppgi antall årsverk barnehagen har pensjonsforpliktelser for:],'1. BASIL-rådata'!$I$3:$I$500,'X. Satser pensjonstilskudd'!$C14,BasilRadata[År],'0. Oppsett'!$C$8)</f>
        <v>0</v>
      </c>
      <c r="H14" s="29"/>
      <c r="I14" s="30" t="str">
        <f>IF(OR(E14="",H14="",NOT(AND(ISNUMBER(F14),ISNUMBER(H14)))),"",H14*F14*(1+'0. Oppsett'!$C$11))</f>
        <v/>
      </c>
    </row>
    <row r="15" spans="1:9" ht="15.75" thickBot="1" x14ac:dyDescent="0.3">
      <c r="A15" s="17">
        <v>11</v>
      </c>
      <c r="B15" s="36"/>
      <c r="C15" s="18"/>
      <c r="D15" s="18" t="str">
        <f>IFERROR(_xlfn.XLOOKUP($C15,factPensjon[Virksomhetsnr.],factPensjon[Forpliktelser]),"")</f>
        <v/>
      </c>
      <c r="E15" s="27"/>
      <c r="F15" s="28" t="str">
        <f>IFERROR(IF(E15="A",'0. Oppsett'!$C$23,IF(E15="B",'0. Oppsett'!$C$24,IF(E15="C",'0. Oppsett'!$C$25,""))),"")</f>
        <v/>
      </c>
      <c r="G15" s="20">
        <f>SUMIFS(BasilRadata[8E. Oppgi antall årsverk barnehagen har pensjonsforpliktelser for:],'1. BASIL-rådata'!$I$3:$I$500,'X. Satser pensjonstilskudd'!$C15,BasilRadata[År],'0. Oppsett'!$C$8)</f>
        <v>0</v>
      </c>
      <c r="H15" s="29"/>
      <c r="I15" s="30" t="str">
        <f>IF(OR(E15="",H15="",NOT(AND(ISNUMBER(F15),ISNUMBER(H15)))),"",H15*F15*(1+'0. Oppsett'!$C$11))</f>
        <v/>
      </c>
    </row>
    <row r="16" spans="1:9" ht="15.75" thickBot="1" x14ac:dyDescent="0.3">
      <c r="A16" s="21">
        <v>12</v>
      </c>
      <c r="B16" s="36"/>
      <c r="C16" s="18"/>
      <c r="D16" s="18" t="str">
        <f>IFERROR(_xlfn.XLOOKUP($C16,factPensjon[Virksomhetsnr.],factPensjon[Forpliktelser]),"")</f>
        <v/>
      </c>
      <c r="E16" s="27"/>
      <c r="F16" s="28" t="str">
        <f>IFERROR(IF(E16="A",'0. Oppsett'!$C$23,IF(E16="B",'0. Oppsett'!$C$24,IF(E16="C",'0. Oppsett'!$C$25,""))),"")</f>
        <v/>
      </c>
      <c r="G16" s="20">
        <f>SUMIFS(BasilRadata[8E. Oppgi antall årsverk barnehagen har pensjonsforpliktelser for:],'1. BASIL-rådata'!$I$3:$I$500,'X. Satser pensjonstilskudd'!$C16,BasilRadata[År],'0. Oppsett'!$C$8)</f>
        <v>0</v>
      </c>
      <c r="H16" s="29"/>
      <c r="I16" s="30" t="str">
        <f>IF(OR(E16="",H16="",NOT(AND(ISNUMBER(F16),ISNUMBER(H16)))),"",H16*F16*(1+'0. Oppsett'!$C$11))</f>
        <v/>
      </c>
    </row>
    <row r="17" spans="1:9" ht="15.75" thickBot="1" x14ac:dyDescent="0.3">
      <c r="A17" s="17">
        <v>13</v>
      </c>
      <c r="B17" s="36"/>
      <c r="C17" s="18"/>
      <c r="D17" s="18" t="str">
        <f>IFERROR(_xlfn.XLOOKUP($C17,factPensjon[Virksomhetsnr.],factPensjon[Forpliktelser]),"")</f>
        <v/>
      </c>
      <c r="E17" s="27"/>
      <c r="F17" s="28" t="str">
        <f>IFERROR(IF(E17="A",'0. Oppsett'!$C$23,IF(E17="B",'0. Oppsett'!$C$24,IF(E17="C",'0. Oppsett'!$C$25,""))),"")</f>
        <v/>
      </c>
      <c r="G17" s="20">
        <f>SUMIFS(BasilRadata[8E. Oppgi antall årsverk barnehagen har pensjonsforpliktelser for:],'1. BASIL-rådata'!$I$3:$I$500,'X. Satser pensjonstilskudd'!$C17,BasilRadata[År],'0. Oppsett'!$C$8)</f>
        <v>0</v>
      </c>
      <c r="H17" s="29"/>
      <c r="I17" s="30" t="str">
        <f>IF(OR(E17="",H17="",NOT(AND(ISNUMBER(F17),ISNUMBER(H17)))),"",H17*F17*(1+'0. Oppsett'!$C$11))</f>
        <v/>
      </c>
    </row>
    <row r="18" spans="1:9" ht="15.75" thickBot="1" x14ac:dyDescent="0.3">
      <c r="A18" s="21">
        <v>14</v>
      </c>
      <c r="B18" s="36"/>
      <c r="C18" s="18"/>
      <c r="D18" s="18" t="str">
        <f>IFERROR(_xlfn.XLOOKUP($C18,factPensjon[Virksomhetsnr.],factPensjon[Forpliktelser]),"")</f>
        <v/>
      </c>
      <c r="E18" s="27"/>
      <c r="F18" s="28" t="str">
        <f>IFERROR(IF(E18="A",'0. Oppsett'!$C$23,IF(E18="B",'0. Oppsett'!$C$24,IF(E18="C",'0. Oppsett'!$C$25,""))),"")</f>
        <v/>
      </c>
      <c r="G18" s="20">
        <f>SUMIFS(BasilRadata[8E. Oppgi antall årsverk barnehagen har pensjonsforpliktelser for:],'1. BASIL-rådata'!$I$3:$I$500,'X. Satser pensjonstilskudd'!$C18,BasilRadata[År],'0. Oppsett'!$C$8)</f>
        <v>0</v>
      </c>
      <c r="H18" s="29"/>
      <c r="I18" s="30" t="str">
        <f>IF(OR(E18="",H18="",NOT(AND(ISNUMBER(F18),ISNUMBER(H18)))),"",H18*F18*(1+'0. Oppsett'!$C$11))</f>
        <v/>
      </c>
    </row>
    <row r="19" spans="1:9" ht="15.75" thickBot="1" x14ac:dyDescent="0.3">
      <c r="A19" s="17">
        <v>15</v>
      </c>
      <c r="B19" s="36"/>
      <c r="C19" s="18"/>
      <c r="D19" s="18" t="str">
        <f>IFERROR(_xlfn.XLOOKUP($C19,factPensjon[Virksomhetsnr.],factPensjon[Forpliktelser]),"")</f>
        <v/>
      </c>
      <c r="E19" s="27"/>
      <c r="F19" s="28" t="str">
        <f>IFERROR(IF(E19="A",'0. Oppsett'!$C$23,IF(E19="B",'0. Oppsett'!$C$24,IF(E19="C",'0. Oppsett'!$C$25,""))),"")</f>
        <v/>
      </c>
      <c r="G19" s="20">
        <f>SUMIFS(BasilRadata[8E. Oppgi antall årsverk barnehagen har pensjonsforpliktelser for:],'1. BASIL-rådata'!$I$3:$I$500,'X. Satser pensjonstilskudd'!$C19,BasilRadata[År],'0. Oppsett'!$C$8)</f>
        <v>0</v>
      </c>
      <c r="H19" s="29"/>
      <c r="I19" s="30" t="str">
        <f>IF(OR(E19="",H19="",NOT(AND(ISNUMBER(F19),ISNUMBER(H19)))),"",H19*F19*(1+'0. Oppsett'!$C$11))</f>
        <v/>
      </c>
    </row>
    <row r="20" spans="1:9" ht="15.75" thickBot="1" x14ac:dyDescent="0.3">
      <c r="A20" s="21">
        <v>16</v>
      </c>
      <c r="B20" s="36"/>
      <c r="C20" s="18"/>
      <c r="D20" s="18" t="str">
        <f>IFERROR(_xlfn.XLOOKUP($C20,factPensjon[Virksomhetsnr.],factPensjon[Forpliktelser]),"")</f>
        <v/>
      </c>
      <c r="E20" s="27"/>
      <c r="F20" s="28" t="str">
        <f>IFERROR(IF(E20="A",'0. Oppsett'!$C$23,IF(E20="B",'0. Oppsett'!$C$24,IF(E20="C",'0. Oppsett'!$C$25,""))),"")</f>
        <v/>
      </c>
      <c r="G20" s="20">
        <f>SUMIFS(BasilRadata[8E. Oppgi antall årsverk barnehagen har pensjonsforpliktelser for:],'1. BASIL-rådata'!$I$3:$I$500,'X. Satser pensjonstilskudd'!$C20,BasilRadata[År],'0. Oppsett'!$C$8)</f>
        <v>0</v>
      </c>
      <c r="H20" s="29"/>
      <c r="I20" s="30" t="str">
        <f>IF(OR(E20="",H20="",NOT(AND(ISNUMBER(F20),ISNUMBER(H20)))),"",H20*F20*(1+'0. Oppsett'!$C$11))</f>
        <v/>
      </c>
    </row>
    <row r="21" spans="1:9" ht="15.75" thickBot="1" x14ac:dyDescent="0.3">
      <c r="A21" s="17">
        <v>17</v>
      </c>
      <c r="B21" s="36"/>
      <c r="C21" s="18"/>
      <c r="D21" s="18" t="str">
        <f>IFERROR(_xlfn.XLOOKUP($C21,factPensjon[Virksomhetsnr.],factPensjon[Forpliktelser]),"")</f>
        <v/>
      </c>
      <c r="E21" s="27"/>
      <c r="F21" s="28" t="str">
        <f>IFERROR(IF(E21="A",'0. Oppsett'!$C$23,IF(E21="B",'0. Oppsett'!$C$24,IF(E21="C",'0. Oppsett'!$C$25,""))),"")</f>
        <v/>
      </c>
      <c r="G21" s="20">
        <f>SUMIFS(BasilRadata[8E. Oppgi antall årsverk barnehagen har pensjonsforpliktelser for:],'1. BASIL-rådata'!$I$3:$I$500,'X. Satser pensjonstilskudd'!$C21,BasilRadata[År],'0. Oppsett'!$C$8)</f>
        <v>0</v>
      </c>
      <c r="H21" s="29"/>
      <c r="I21" s="30" t="str">
        <f>IF(OR(E21="",H21="",NOT(AND(ISNUMBER(F21),ISNUMBER(H21)))),"",H21*F21*(1+'0. Oppsett'!$C$11))</f>
        <v/>
      </c>
    </row>
    <row r="22" spans="1:9" ht="15.75" thickBot="1" x14ac:dyDescent="0.3">
      <c r="A22" s="21">
        <v>18</v>
      </c>
      <c r="B22" s="36"/>
      <c r="C22" s="18"/>
      <c r="D22" s="18" t="str">
        <f>IFERROR(_xlfn.XLOOKUP($C22,factPensjon[Virksomhetsnr.],factPensjon[Forpliktelser]),"")</f>
        <v/>
      </c>
      <c r="E22" s="27"/>
      <c r="F22" s="28" t="str">
        <f>IFERROR(IF(E22="A",'0. Oppsett'!$C$23,IF(E22="B",'0. Oppsett'!$C$24,IF(E22="C",'0. Oppsett'!$C$25,""))),"")</f>
        <v/>
      </c>
      <c r="G22" s="20">
        <f>SUMIFS(BasilRadata[8E. Oppgi antall årsverk barnehagen har pensjonsforpliktelser for:],'1. BASIL-rådata'!$I$3:$I$500,'X. Satser pensjonstilskudd'!$C22,BasilRadata[År],'0. Oppsett'!$C$8)</f>
        <v>0</v>
      </c>
      <c r="H22" s="29"/>
      <c r="I22" s="30" t="str">
        <f>IF(OR(E22="",H22="",NOT(AND(ISNUMBER(F22),ISNUMBER(H22)))),"",H22*F22*(1+'0. Oppsett'!$C$11))</f>
        <v/>
      </c>
    </row>
    <row r="23" spans="1:9" ht="15.75" thickBot="1" x14ac:dyDescent="0.3">
      <c r="A23" s="17">
        <v>19</v>
      </c>
      <c r="B23" s="36"/>
      <c r="C23" s="18"/>
      <c r="D23" s="18" t="str">
        <f>IFERROR(_xlfn.XLOOKUP($C23,factPensjon[Virksomhetsnr.],factPensjon[Forpliktelser]),"")</f>
        <v/>
      </c>
      <c r="E23" s="27"/>
      <c r="F23" s="28" t="str">
        <f>IFERROR(IF(E23="A",'0. Oppsett'!$C$23,IF(E23="B",'0. Oppsett'!$C$24,IF(E23="C",'0. Oppsett'!$C$25,""))),"")</f>
        <v/>
      </c>
      <c r="G23" s="20">
        <f>SUMIFS(BasilRadata[8E. Oppgi antall årsverk barnehagen har pensjonsforpliktelser for:],'1. BASIL-rådata'!$I$3:$I$500,'X. Satser pensjonstilskudd'!$C23,BasilRadata[År],'0. Oppsett'!$C$8)</f>
        <v>0</v>
      </c>
      <c r="H23" s="29"/>
      <c r="I23" s="30" t="str">
        <f>IF(OR(E23="",H23="",NOT(AND(ISNUMBER(F23),ISNUMBER(H23)))),"",H23*F23*(1+'0. Oppsett'!$C$11))</f>
        <v/>
      </c>
    </row>
    <row r="24" spans="1:9" ht="15.75" thickBot="1" x14ac:dyDescent="0.3">
      <c r="A24" s="21">
        <v>20</v>
      </c>
      <c r="B24" s="36"/>
      <c r="C24" s="18"/>
      <c r="D24" s="18" t="str">
        <f>IFERROR(_xlfn.XLOOKUP($C24,factPensjon[Virksomhetsnr.],factPensjon[Forpliktelser]),"")</f>
        <v/>
      </c>
      <c r="E24" s="27"/>
      <c r="F24" s="28" t="str">
        <f>IFERROR(IF(E24="A",'0. Oppsett'!$C$23,IF(E24="B",'0. Oppsett'!$C$24,IF(E24="C",'0. Oppsett'!$C$25,""))),"")</f>
        <v/>
      </c>
      <c r="G24" s="20">
        <f>SUMIFS(BasilRadata[8E. Oppgi antall årsverk barnehagen har pensjonsforpliktelser for:],'1. BASIL-rådata'!$I$3:$I$500,'X. Satser pensjonstilskudd'!$C24,BasilRadata[År],'0. Oppsett'!$C$8)</f>
        <v>0</v>
      </c>
      <c r="H24" s="29"/>
      <c r="I24" s="30" t="str">
        <f>IF(OR(E24="",H24="",NOT(AND(ISNUMBER(F24),ISNUMBER(H24)))),"",H24*F24*(1+'0. Oppsett'!$C$11))</f>
        <v/>
      </c>
    </row>
    <row r="25" spans="1:9" ht="15.75" thickBot="1" x14ac:dyDescent="0.3">
      <c r="A25" s="17">
        <v>21</v>
      </c>
      <c r="B25" s="36"/>
      <c r="C25" s="18"/>
      <c r="D25" s="18" t="str">
        <f>IFERROR(_xlfn.XLOOKUP($C25,factPensjon[Virksomhetsnr.],factPensjon[Forpliktelser]),"")</f>
        <v/>
      </c>
      <c r="E25" s="27"/>
      <c r="F25" s="28" t="str">
        <f>IFERROR(IF(E25="A",'0. Oppsett'!$C$23,IF(E25="B",'0. Oppsett'!$C$24,IF(E25="C",'0. Oppsett'!$C$25,""))),"")</f>
        <v/>
      </c>
      <c r="G25" s="20">
        <f>SUMIFS(BasilRadata[8E. Oppgi antall årsverk barnehagen har pensjonsforpliktelser for:],'1. BASIL-rådata'!$I$3:$I$500,'X. Satser pensjonstilskudd'!$C25,BasilRadata[År],'0. Oppsett'!$C$8)</f>
        <v>0</v>
      </c>
      <c r="H25" s="29"/>
      <c r="I25" s="30" t="str">
        <f>IF(OR(E25="",H25="",NOT(AND(ISNUMBER(F25),ISNUMBER(H25)))),"",H25*F25*(1+'0. Oppsett'!$C$11))</f>
        <v/>
      </c>
    </row>
    <row r="26" spans="1:9" ht="15.75" thickBot="1" x14ac:dyDescent="0.3">
      <c r="A26" s="21">
        <v>22</v>
      </c>
      <c r="B26" s="36"/>
      <c r="C26" s="18"/>
      <c r="D26" s="18" t="str">
        <f>IFERROR(_xlfn.XLOOKUP($C26,factPensjon[Virksomhetsnr.],factPensjon[Forpliktelser]),"")</f>
        <v/>
      </c>
      <c r="E26" s="27"/>
      <c r="F26" s="28" t="str">
        <f>IFERROR(IF(E26="A",'0. Oppsett'!$C$23,IF(E26="B",'0. Oppsett'!$C$24,IF(E26="C",'0. Oppsett'!$C$25,""))),"")</f>
        <v/>
      </c>
      <c r="G26" s="20">
        <f>SUMIFS(BasilRadata[8E. Oppgi antall årsverk barnehagen har pensjonsforpliktelser for:],'1. BASIL-rådata'!$I$3:$I$500,'X. Satser pensjonstilskudd'!$C26,BasilRadata[År],'0. Oppsett'!$C$8)</f>
        <v>0</v>
      </c>
      <c r="H26" s="29"/>
      <c r="I26" s="30" t="str">
        <f>IF(OR(E26="",H26="",NOT(AND(ISNUMBER(F26),ISNUMBER(H26)))),"",H26*F26*(1+'0. Oppsett'!$C$11))</f>
        <v/>
      </c>
    </row>
    <row r="27" spans="1:9" ht="15.75" thickBot="1" x14ac:dyDescent="0.3">
      <c r="A27" s="17">
        <v>23</v>
      </c>
      <c r="B27" s="36"/>
      <c r="C27" s="18"/>
      <c r="D27" s="18" t="str">
        <f>IFERROR(_xlfn.XLOOKUP($C27,factPensjon[Virksomhetsnr.],factPensjon[Forpliktelser]),"")</f>
        <v/>
      </c>
      <c r="E27" s="27"/>
      <c r="F27" s="28" t="str">
        <f>IFERROR(IF(E27="A",'0. Oppsett'!$C$23,IF(E27="B",'0. Oppsett'!$C$24,IF(E27="C",'0. Oppsett'!$C$25,""))),"")</f>
        <v/>
      </c>
      <c r="G27" s="20">
        <f>SUMIFS(BasilRadata[8E. Oppgi antall årsverk barnehagen har pensjonsforpliktelser for:],'1. BASIL-rådata'!$I$3:$I$500,'X. Satser pensjonstilskudd'!$C27,BasilRadata[År],'0. Oppsett'!$C$8)</f>
        <v>0</v>
      </c>
      <c r="H27" s="29"/>
      <c r="I27" s="30" t="str">
        <f>IF(OR(E27="",H27="",NOT(AND(ISNUMBER(F27),ISNUMBER(H27)))),"",H27*F27*(1+'0. Oppsett'!$C$11))</f>
        <v/>
      </c>
    </row>
    <row r="28" spans="1:9" ht="15.75" thickBot="1" x14ac:dyDescent="0.3">
      <c r="A28" s="21">
        <v>24</v>
      </c>
      <c r="B28" s="36"/>
      <c r="C28" s="18"/>
      <c r="D28" s="18" t="str">
        <f>IFERROR(_xlfn.XLOOKUP($C28,factPensjon[Virksomhetsnr.],factPensjon[Forpliktelser]),"")</f>
        <v/>
      </c>
      <c r="E28" s="27"/>
      <c r="F28" s="28" t="str">
        <f>IFERROR(IF(E28="A",'0. Oppsett'!$C$23,IF(E28="B",'0. Oppsett'!$C$24,IF(E28="C",'0. Oppsett'!$C$25,""))),"")</f>
        <v/>
      </c>
      <c r="G28" s="20">
        <f>SUMIFS(BasilRadata[8E. Oppgi antall årsverk barnehagen har pensjonsforpliktelser for:],'1. BASIL-rådata'!$I$3:$I$500,'X. Satser pensjonstilskudd'!$C28,BasilRadata[År],'0. Oppsett'!$C$8)</f>
        <v>0</v>
      </c>
      <c r="H28" s="29"/>
      <c r="I28" s="30" t="str">
        <f>IF(OR(E28="",H28="",NOT(AND(ISNUMBER(F28),ISNUMBER(H28)))),"",H28*F28*(1+'0. Oppsett'!$C$11))</f>
        <v/>
      </c>
    </row>
    <row r="29" spans="1:9" ht="15.75" thickBot="1" x14ac:dyDescent="0.3">
      <c r="A29" s="17">
        <v>25</v>
      </c>
      <c r="B29" s="36"/>
      <c r="C29" s="18"/>
      <c r="D29" s="18" t="str">
        <f>IFERROR(_xlfn.XLOOKUP($C29,factPensjon[Virksomhetsnr.],factPensjon[Forpliktelser]),"")</f>
        <v/>
      </c>
      <c r="E29" s="27"/>
      <c r="F29" s="28" t="str">
        <f>IFERROR(IF(E29="A",'0. Oppsett'!$C$23,IF(E29="B",'0. Oppsett'!$C$24,IF(E29="C",'0. Oppsett'!$C$25,""))),"")</f>
        <v/>
      </c>
      <c r="G29" s="20">
        <f>SUMIFS(BasilRadata[8E. Oppgi antall årsverk barnehagen har pensjonsforpliktelser for:],'1. BASIL-rådata'!$I$3:$I$500,'X. Satser pensjonstilskudd'!$C29,BasilRadata[År],'0. Oppsett'!$C$8)</f>
        <v>0</v>
      </c>
      <c r="H29" s="29"/>
      <c r="I29" s="30" t="str">
        <f>IF(OR(E29="",H29="",NOT(AND(ISNUMBER(F29),ISNUMBER(H29)))),"",H29*F29*(1+'0. Oppsett'!$C$11))</f>
        <v/>
      </c>
    </row>
    <row r="30" spans="1:9" ht="15.75" thickBot="1" x14ac:dyDescent="0.3">
      <c r="A30" s="21">
        <v>26</v>
      </c>
      <c r="B30" s="36"/>
      <c r="C30" s="18"/>
      <c r="D30" s="18" t="str">
        <f>IFERROR(_xlfn.XLOOKUP($C30,factPensjon[Virksomhetsnr.],factPensjon[Forpliktelser]),"")</f>
        <v/>
      </c>
      <c r="E30" s="27"/>
      <c r="F30" s="28" t="str">
        <f>IFERROR(IF(E30="A",'0. Oppsett'!$C$23,IF(E30="B",'0. Oppsett'!$C$24,IF(E30="C",'0. Oppsett'!$C$25,""))),"")</f>
        <v/>
      </c>
      <c r="G30" s="20">
        <f>SUMIFS(BasilRadata[8E. Oppgi antall årsverk barnehagen har pensjonsforpliktelser for:],'1. BASIL-rådata'!$I$3:$I$500,'X. Satser pensjonstilskudd'!$C30,BasilRadata[År],'0. Oppsett'!$C$8)</f>
        <v>0</v>
      </c>
      <c r="H30" s="29"/>
      <c r="I30" s="30" t="str">
        <f>IF(OR(E30="",H30="",NOT(AND(ISNUMBER(F30),ISNUMBER(H30)))),"",H30*F30*(1+'0. Oppsett'!$C$11))</f>
        <v/>
      </c>
    </row>
    <row r="31" spans="1:9" ht="15.75" thickBot="1" x14ac:dyDescent="0.3">
      <c r="A31" s="17">
        <v>27</v>
      </c>
      <c r="B31" s="36"/>
      <c r="C31" s="18"/>
      <c r="D31" s="18" t="str">
        <f>IFERROR(_xlfn.XLOOKUP($C31,factPensjon[Virksomhetsnr.],factPensjon[Forpliktelser]),"")</f>
        <v/>
      </c>
      <c r="E31" s="27"/>
      <c r="F31" s="28" t="str">
        <f>IFERROR(IF(E31="A",'0. Oppsett'!$C$23,IF(E31="B",'0. Oppsett'!$C$24,IF(E31="C",'0. Oppsett'!$C$25,""))),"")</f>
        <v/>
      </c>
      <c r="G31" s="20">
        <f>SUMIFS(BasilRadata[8E. Oppgi antall årsverk barnehagen har pensjonsforpliktelser for:],'1. BASIL-rådata'!$I$3:$I$500,'X. Satser pensjonstilskudd'!$C31,BasilRadata[År],'0. Oppsett'!$C$8)</f>
        <v>0</v>
      </c>
      <c r="H31" s="29"/>
      <c r="I31" s="30" t="str">
        <f>IF(OR(E31="",H31="",NOT(AND(ISNUMBER(F31),ISNUMBER(H31)))),"",H31*F31*(1+'0. Oppsett'!$C$11))</f>
        <v/>
      </c>
    </row>
    <row r="32" spans="1:9" ht="15.75" thickBot="1" x14ac:dyDescent="0.3">
      <c r="A32" s="21">
        <v>28</v>
      </c>
      <c r="B32" s="36"/>
      <c r="C32" s="18"/>
      <c r="D32" s="18" t="str">
        <f>IFERROR(_xlfn.XLOOKUP($C32,factPensjon[Virksomhetsnr.],factPensjon[Forpliktelser]),"")</f>
        <v/>
      </c>
      <c r="E32" s="27"/>
      <c r="F32" s="28" t="str">
        <f>IFERROR(IF(E32="A",'0. Oppsett'!$C$23,IF(E32="B",'0. Oppsett'!$C$24,IF(E32="C",'0. Oppsett'!$C$25,""))),"")</f>
        <v/>
      </c>
      <c r="G32" s="20">
        <f>SUMIFS(BasilRadata[8E. Oppgi antall årsverk barnehagen har pensjonsforpliktelser for:],'1. BASIL-rådata'!$I$3:$I$500,'X. Satser pensjonstilskudd'!$C32,BasilRadata[År],'0. Oppsett'!$C$8)</f>
        <v>0</v>
      </c>
      <c r="H32" s="29"/>
      <c r="I32" s="30" t="str">
        <f>IF(OR(E32="",H32="",NOT(AND(ISNUMBER(F32),ISNUMBER(H32)))),"",H32*F32*(1+'0. Oppsett'!$C$11))</f>
        <v/>
      </c>
    </row>
    <row r="33" spans="1:9" ht="15.75" thickBot="1" x14ac:dyDescent="0.3">
      <c r="A33" s="17">
        <v>29</v>
      </c>
      <c r="B33" s="36"/>
      <c r="C33" s="18"/>
      <c r="D33" s="18" t="str">
        <f>IFERROR(_xlfn.XLOOKUP($C33,factPensjon[Virksomhetsnr.],factPensjon[Forpliktelser]),"")</f>
        <v/>
      </c>
      <c r="E33" s="27"/>
      <c r="F33" s="28" t="str">
        <f>IFERROR(IF(E33="A",'0. Oppsett'!$C$23,IF(E33="B",'0. Oppsett'!$C$24,IF(E33="C",'0. Oppsett'!$C$25,""))),"")</f>
        <v/>
      </c>
      <c r="G33" s="20">
        <f>SUMIFS(BasilRadata[8E. Oppgi antall årsverk barnehagen har pensjonsforpliktelser for:],'1. BASIL-rådata'!$I$3:$I$500,'X. Satser pensjonstilskudd'!$C33,BasilRadata[År],'0. Oppsett'!$C$8)</f>
        <v>0</v>
      </c>
      <c r="H33" s="29"/>
      <c r="I33" s="30" t="str">
        <f>IF(OR(E33="",H33="",NOT(AND(ISNUMBER(F33),ISNUMBER(H33)))),"",H33*F33*(1+'0. Oppsett'!$C$11))</f>
        <v/>
      </c>
    </row>
    <row r="34" spans="1:9" ht="15.75" thickBot="1" x14ac:dyDescent="0.3">
      <c r="A34" s="21">
        <v>30</v>
      </c>
      <c r="B34" s="36"/>
      <c r="C34" s="18"/>
      <c r="D34" s="18" t="str">
        <f>IFERROR(_xlfn.XLOOKUP($C34,factPensjon[Virksomhetsnr.],factPensjon[Forpliktelser]),"")</f>
        <v/>
      </c>
      <c r="E34" s="27"/>
      <c r="F34" s="28" t="str">
        <f>IFERROR(IF(E34="A",'0. Oppsett'!$C$23,IF(E34="B",'0. Oppsett'!$C$24,IF(E34="C",'0. Oppsett'!$C$25,""))),"")</f>
        <v/>
      </c>
      <c r="G34" s="20">
        <f>SUMIFS(BasilRadata[8E. Oppgi antall årsverk barnehagen har pensjonsforpliktelser for:],'1. BASIL-rådata'!$I$3:$I$500,'X. Satser pensjonstilskudd'!$C34,BasilRadata[År],'0. Oppsett'!$C$8)</f>
        <v>0</v>
      </c>
      <c r="H34" s="29"/>
      <c r="I34" s="30" t="str">
        <f>IF(OR(E34="",H34="",NOT(AND(ISNUMBER(F34),ISNUMBER(H34)))),"",H34*F34*(1+'0. Oppsett'!$C$11))</f>
        <v/>
      </c>
    </row>
    <row r="35" spans="1:9" ht="15.75" thickBot="1" x14ac:dyDescent="0.3">
      <c r="A35" s="17">
        <v>31</v>
      </c>
      <c r="B35" s="36"/>
      <c r="C35" s="18"/>
      <c r="D35" s="18" t="str">
        <f>IFERROR(_xlfn.XLOOKUP($C35,factPensjon[Virksomhetsnr.],factPensjon[Forpliktelser]),"")</f>
        <v/>
      </c>
      <c r="E35" s="27"/>
      <c r="F35" s="28" t="str">
        <f>IFERROR(IF(E35="A",'0. Oppsett'!$C$23,IF(E35="B",'0. Oppsett'!$C$24,IF(E35="C",'0. Oppsett'!$C$25,""))),"")</f>
        <v/>
      </c>
      <c r="G35" s="20">
        <f>SUMIFS(BasilRadata[8E. Oppgi antall årsverk barnehagen har pensjonsforpliktelser for:],'1. BASIL-rådata'!$I$3:$I$500,'X. Satser pensjonstilskudd'!$C35,BasilRadata[År],'0. Oppsett'!$C$8)</f>
        <v>0</v>
      </c>
      <c r="H35" s="29"/>
      <c r="I35" s="30" t="str">
        <f>IF(OR(E35="",H35="",NOT(AND(ISNUMBER(F35),ISNUMBER(H35)))),"",H35*F35*(1+'0. Oppsett'!$C$11))</f>
        <v/>
      </c>
    </row>
    <row r="36" spans="1:9" ht="15.75" thickBot="1" x14ac:dyDescent="0.3">
      <c r="A36" s="21">
        <v>32</v>
      </c>
      <c r="B36" s="36"/>
      <c r="C36" s="18"/>
      <c r="D36" s="18" t="str">
        <f>IFERROR(_xlfn.XLOOKUP($C36,factPensjon[Virksomhetsnr.],factPensjon[Forpliktelser]),"")</f>
        <v/>
      </c>
      <c r="E36" s="27"/>
      <c r="F36" s="28" t="str">
        <f>IFERROR(IF(E36="A",'0. Oppsett'!$C$23,IF(E36="B",'0. Oppsett'!$C$24,IF(E36="C",'0. Oppsett'!$C$25,""))),"")</f>
        <v/>
      </c>
      <c r="G36" s="20">
        <f>SUMIFS(BasilRadata[8E. Oppgi antall årsverk barnehagen har pensjonsforpliktelser for:],'1. BASIL-rådata'!$I$3:$I$500,'X. Satser pensjonstilskudd'!$C36,BasilRadata[År],'0. Oppsett'!$C$8)</f>
        <v>0</v>
      </c>
      <c r="H36" s="29"/>
      <c r="I36" s="30" t="str">
        <f>IF(OR(E36="",H36="",NOT(AND(ISNUMBER(F36),ISNUMBER(H36)))),"",H36*F36*(1+'0. Oppsett'!$C$11))</f>
        <v/>
      </c>
    </row>
    <row r="37" spans="1:9" ht="15.75" thickBot="1" x14ac:dyDescent="0.3">
      <c r="A37" s="17">
        <v>33</v>
      </c>
      <c r="B37" s="36"/>
      <c r="C37" s="18"/>
      <c r="D37" s="18" t="str">
        <f>IFERROR(_xlfn.XLOOKUP($C37,factPensjon[Virksomhetsnr.],factPensjon[Forpliktelser]),"")</f>
        <v/>
      </c>
      <c r="E37" s="27"/>
      <c r="F37" s="28" t="str">
        <f>IFERROR(IF(E37="A",'0. Oppsett'!$C$23,IF(E37="B",'0. Oppsett'!$C$24,IF(E37="C",'0. Oppsett'!$C$25,""))),"")</f>
        <v/>
      </c>
      <c r="G37" s="20">
        <f>SUMIFS(BasilRadata[8E. Oppgi antall årsverk barnehagen har pensjonsforpliktelser for:],'1. BASIL-rådata'!$I$3:$I$500,'X. Satser pensjonstilskudd'!$C37,BasilRadata[År],'0. Oppsett'!$C$8)</f>
        <v>0</v>
      </c>
      <c r="H37" s="29"/>
      <c r="I37" s="30" t="str">
        <f>IF(OR(E37="",H37="",NOT(AND(ISNUMBER(F37),ISNUMBER(H37)))),"",H37*F37*(1+'0. Oppsett'!$C$11))</f>
        <v/>
      </c>
    </row>
    <row r="38" spans="1:9" ht="15.75" thickBot="1" x14ac:dyDescent="0.3">
      <c r="A38" s="21">
        <v>34</v>
      </c>
      <c r="B38" s="36"/>
      <c r="C38" s="18"/>
      <c r="D38" s="18" t="str">
        <f>IFERROR(_xlfn.XLOOKUP($C38,factPensjon[Virksomhetsnr.],factPensjon[Forpliktelser]),"")</f>
        <v/>
      </c>
      <c r="E38" s="27"/>
      <c r="F38" s="28" t="str">
        <f>IFERROR(IF(E38="A",'0. Oppsett'!$C$23,IF(E38="B",'0. Oppsett'!$C$24,IF(E38="C",'0. Oppsett'!$C$25,""))),"")</f>
        <v/>
      </c>
      <c r="G38" s="20">
        <f>SUMIFS(BasilRadata[8E. Oppgi antall årsverk barnehagen har pensjonsforpliktelser for:],'1. BASIL-rådata'!$I$3:$I$500,'X. Satser pensjonstilskudd'!$C38,BasilRadata[År],'0. Oppsett'!$C$8)</f>
        <v>0</v>
      </c>
      <c r="H38" s="29"/>
      <c r="I38" s="30" t="str">
        <f>IF(OR(E38="",H38="",NOT(AND(ISNUMBER(F38),ISNUMBER(H38)))),"",H38*F38*(1+'0. Oppsett'!$C$11))</f>
        <v/>
      </c>
    </row>
    <row r="39" spans="1:9" ht="15.75" thickBot="1" x14ac:dyDescent="0.3">
      <c r="A39" s="17">
        <v>35</v>
      </c>
      <c r="B39" s="36"/>
      <c r="C39" s="18"/>
      <c r="D39" s="18" t="str">
        <f>IFERROR(_xlfn.XLOOKUP($C39,factPensjon[Virksomhetsnr.],factPensjon[Forpliktelser]),"")</f>
        <v/>
      </c>
      <c r="E39" s="27"/>
      <c r="F39" s="28" t="str">
        <f>IFERROR(IF(E39="A",'0. Oppsett'!$C$23,IF(E39="B",'0. Oppsett'!$C$24,IF(E39="C",'0. Oppsett'!$C$25,""))),"")</f>
        <v/>
      </c>
      <c r="G39" s="20">
        <f>SUMIFS(BasilRadata[8E. Oppgi antall årsverk barnehagen har pensjonsforpliktelser for:],'1. BASIL-rådata'!$I$3:$I$500,'X. Satser pensjonstilskudd'!$C39,BasilRadata[År],'0. Oppsett'!$C$8)</f>
        <v>0</v>
      </c>
      <c r="H39" s="29"/>
      <c r="I39" s="30" t="str">
        <f>IF(OR(E39="",H39="",NOT(AND(ISNUMBER(F39),ISNUMBER(H39)))),"",H39*F39*(1+'0. Oppsett'!$C$11))</f>
        <v/>
      </c>
    </row>
    <row r="40" spans="1:9" ht="15.75" thickBot="1" x14ac:dyDescent="0.3">
      <c r="A40" s="21">
        <v>36</v>
      </c>
      <c r="B40" s="36"/>
      <c r="C40" s="18"/>
      <c r="D40" s="18" t="str">
        <f>IFERROR(_xlfn.XLOOKUP($C40,factPensjon[Virksomhetsnr.],factPensjon[Forpliktelser]),"")</f>
        <v/>
      </c>
      <c r="E40" s="27"/>
      <c r="F40" s="28" t="str">
        <f>IFERROR(IF(E40="A",'0. Oppsett'!$C$23,IF(E40="B",'0. Oppsett'!$C$24,IF(E40="C",'0. Oppsett'!$C$25,""))),"")</f>
        <v/>
      </c>
      <c r="G40" s="20">
        <f>SUMIFS(BasilRadata[8E. Oppgi antall årsverk barnehagen har pensjonsforpliktelser for:],'1. BASIL-rådata'!$I$3:$I$500,'X. Satser pensjonstilskudd'!$C40,BasilRadata[År],'0. Oppsett'!$C$8)</f>
        <v>0</v>
      </c>
      <c r="H40" s="29"/>
      <c r="I40" s="30" t="str">
        <f>IF(OR(E40="",H40="",NOT(AND(ISNUMBER(F40),ISNUMBER(H40)))),"",H40*F40*(1+'0. Oppsett'!$C$11))</f>
        <v/>
      </c>
    </row>
    <row r="41" spans="1:9" ht="15.75" thickBot="1" x14ac:dyDescent="0.3">
      <c r="A41" s="17">
        <v>37</v>
      </c>
      <c r="B41" s="36"/>
      <c r="C41" s="18"/>
      <c r="D41" s="18" t="str">
        <f>IFERROR(_xlfn.XLOOKUP($C41,factPensjon[Virksomhetsnr.],factPensjon[Forpliktelser]),"")</f>
        <v/>
      </c>
      <c r="E41" s="27"/>
      <c r="F41" s="28" t="str">
        <f>IFERROR(IF(E41="A",'0. Oppsett'!$C$23,IF(E41="B",'0. Oppsett'!$C$24,IF(E41="C",'0. Oppsett'!$C$25,""))),"")</f>
        <v/>
      </c>
      <c r="G41" s="20">
        <f>SUMIFS(BasilRadata[8E. Oppgi antall årsverk barnehagen har pensjonsforpliktelser for:],'1. BASIL-rådata'!$I$3:$I$500,'X. Satser pensjonstilskudd'!$C41,BasilRadata[År],'0. Oppsett'!$C$8)</f>
        <v>0</v>
      </c>
      <c r="H41" s="29"/>
      <c r="I41" s="30" t="str">
        <f>IF(OR(E41="",H41="",NOT(AND(ISNUMBER(F41),ISNUMBER(H41)))),"",H41*F41*(1+'0. Oppsett'!$C$11))</f>
        <v/>
      </c>
    </row>
    <row r="42" spans="1:9" ht="15.75" thickBot="1" x14ac:dyDescent="0.3">
      <c r="A42" s="21">
        <v>38</v>
      </c>
      <c r="B42" s="36"/>
      <c r="C42" s="18"/>
      <c r="D42" s="18" t="str">
        <f>IFERROR(_xlfn.XLOOKUP($C42,factPensjon[Virksomhetsnr.],factPensjon[Forpliktelser]),"")</f>
        <v/>
      </c>
      <c r="E42" s="27"/>
      <c r="F42" s="28" t="str">
        <f>IFERROR(IF(E42="A",'0. Oppsett'!$C$23,IF(E42="B",'0. Oppsett'!$C$24,IF(E42="C",'0. Oppsett'!$C$25,""))),"")</f>
        <v/>
      </c>
      <c r="G42" s="20">
        <f>SUMIFS(BasilRadata[8E. Oppgi antall årsverk barnehagen har pensjonsforpliktelser for:],'1. BASIL-rådata'!$I$3:$I$500,'X. Satser pensjonstilskudd'!$C42,BasilRadata[År],'0. Oppsett'!$C$8)</f>
        <v>0</v>
      </c>
      <c r="H42" s="29"/>
      <c r="I42" s="30" t="str">
        <f>IF(OR(E42="",H42="",NOT(AND(ISNUMBER(F42),ISNUMBER(H42)))),"",H42*F42*(1+'0. Oppsett'!$C$11))</f>
        <v/>
      </c>
    </row>
    <row r="43" spans="1:9" ht="15.75" thickBot="1" x14ac:dyDescent="0.3">
      <c r="A43" s="17">
        <v>39</v>
      </c>
      <c r="B43" s="36"/>
      <c r="C43" s="18"/>
      <c r="D43" s="18" t="str">
        <f>IFERROR(_xlfn.XLOOKUP($C43,factPensjon[Virksomhetsnr.],factPensjon[Forpliktelser]),"")</f>
        <v/>
      </c>
      <c r="E43" s="27"/>
      <c r="F43" s="28" t="str">
        <f>IFERROR(IF(E43="A",'0. Oppsett'!$C$23,IF(E43="B",'0. Oppsett'!$C$24,IF(E43="C",'0. Oppsett'!$C$25,""))),"")</f>
        <v/>
      </c>
      <c r="G43" s="20">
        <f>SUMIFS(BasilRadata[8E. Oppgi antall årsverk barnehagen har pensjonsforpliktelser for:],'1. BASIL-rådata'!$I$3:$I$500,'X. Satser pensjonstilskudd'!$C43,BasilRadata[År],'0. Oppsett'!$C$8)</f>
        <v>0</v>
      </c>
      <c r="H43" s="29"/>
      <c r="I43" s="30" t="str">
        <f>IF(OR(E43="",H43="",NOT(AND(ISNUMBER(F43),ISNUMBER(H43)))),"",H43*F43*(1+'0. Oppsett'!$C$11))</f>
        <v/>
      </c>
    </row>
    <row r="44" spans="1:9" ht="15.75" thickBot="1" x14ac:dyDescent="0.3">
      <c r="A44" s="21">
        <v>40</v>
      </c>
      <c r="B44" s="36"/>
      <c r="C44" s="18"/>
      <c r="D44" s="18" t="str">
        <f>IFERROR(_xlfn.XLOOKUP($C44,factPensjon[Virksomhetsnr.],factPensjon[Forpliktelser]),"")</f>
        <v/>
      </c>
      <c r="E44" s="27"/>
      <c r="F44" s="28" t="str">
        <f>IFERROR(IF(E44="A",'0. Oppsett'!$C$23,IF(E44="B",'0. Oppsett'!$C$24,IF(E44="C",'0. Oppsett'!$C$25,""))),"")</f>
        <v/>
      </c>
      <c r="G44" s="20">
        <f>SUMIFS(BasilRadata[8E. Oppgi antall årsverk barnehagen har pensjonsforpliktelser for:],'1. BASIL-rådata'!$I$3:$I$500,'X. Satser pensjonstilskudd'!$C44,BasilRadata[År],'0. Oppsett'!$C$8)</f>
        <v>0</v>
      </c>
      <c r="H44" s="29"/>
      <c r="I44" s="30" t="str">
        <f>IF(OR(E44="",H44="",NOT(AND(ISNUMBER(F44),ISNUMBER(H44)))),"",H44*F44*(1+'0. Oppsett'!$C$11))</f>
        <v/>
      </c>
    </row>
    <row r="45" spans="1:9" ht="15.75" thickBot="1" x14ac:dyDescent="0.3">
      <c r="A45" s="17">
        <v>41</v>
      </c>
      <c r="B45" s="36"/>
      <c r="C45" s="18"/>
      <c r="D45" s="18" t="str">
        <f>IFERROR(_xlfn.XLOOKUP($C45,factPensjon[Virksomhetsnr.],factPensjon[Forpliktelser]),"")</f>
        <v/>
      </c>
      <c r="E45" s="27"/>
      <c r="F45" s="28" t="str">
        <f>IFERROR(IF(E45="A",'0. Oppsett'!$C$23,IF(E45="B",'0. Oppsett'!$C$24,IF(E45="C",'0. Oppsett'!$C$25,""))),"")</f>
        <v/>
      </c>
      <c r="G45" s="20">
        <f>SUMIFS(BasilRadata[8E. Oppgi antall årsverk barnehagen har pensjonsforpliktelser for:],'1. BASIL-rådata'!$I$3:$I$500,'X. Satser pensjonstilskudd'!$C45,BasilRadata[År],'0. Oppsett'!$C$8)</f>
        <v>0</v>
      </c>
      <c r="H45" s="29"/>
      <c r="I45" s="30" t="str">
        <f>IF(OR(E45="",H45="",NOT(AND(ISNUMBER(F45),ISNUMBER(H45)))),"",H45*F45*(1+'0. Oppsett'!$C$11))</f>
        <v/>
      </c>
    </row>
    <row r="46" spans="1:9" ht="15.75" thickBot="1" x14ac:dyDescent="0.3">
      <c r="A46" s="21">
        <v>42</v>
      </c>
      <c r="B46" s="36"/>
      <c r="C46" s="18"/>
      <c r="D46" s="18" t="str">
        <f>IFERROR(_xlfn.XLOOKUP($C46,factPensjon[Virksomhetsnr.],factPensjon[Forpliktelser]),"")</f>
        <v/>
      </c>
      <c r="E46" s="27"/>
      <c r="F46" s="28" t="str">
        <f>IFERROR(IF(E46="A",'0. Oppsett'!$C$23,IF(E46="B",'0. Oppsett'!$C$24,IF(E46="C",'0. Oppsett'!$C$25,""))),"")</f>
        <v/>
      </c>
      <c r="G46" s="20">
        <f>SUMIFS(BasilRadata[8E. Oppgi antall årsverk barnehagen har pensjonsforpliktelser for:],'1. BASIL-rådata'!$I$3:$I$500,'X. Satser pensjonstilskudd'!$C46,BasilRadata[År],'0. Oppsett'!$C$8)</f>
        <v>0</v>
      </c>
      <c r="H46" s="29"/>
      <c r="I46" s="30" t="str">
        <f>IF(OR(E46="",H46="",NOT(AND(ISNUMBER(F46),ISNUMBER(H46)))),"",H46*F46*(1+'0. Oppsett'!$C$11))</f>
        <v/>
      </c>
    </row>
    <row r="47" spans="1:9" ht="15.75" thickBot="1" x14ac:dyDescent="0.3">
      <c r="A47" s="17">
        <v>43</v>
      </c>
      <c r="B47" s="36"/>
      <c r="C47" s="18"/>
      <c r="D47" s="18" t="str">
        <f>IFERROR(_xlfn.XLOOKUP($C47,factPensjon[Virksomhetsnr.],factPensjon[Forpliktelser]),"")</f>
        <v/>
      </c>
      <c r="E47" s="27"/>
      <c r="F47" s="28" t="str">
        <f>IFERROR(IF(E47="A",'0. Oppsett'!$C$23,IF(E47="B",'0. Oppsett'!$C$24,IF(E47="C",'0. Oppsett'!$C$25,""))),"")</f>
        <v/>
      </c>
      <c r="G47" s="20">
        <f>SUMIFS(BasilRadata[8E. Oppgi antall årsverk barnehagen har pensjonsforpliktelser for:],'1. BASIL-rådata'!$I$3:$I$500,'X. Satser pensjonstilskudd'!$C47,BasilRadata[År],'0. Oppsett'!$C$8)</f>
        <v>0</v>
      </c>
      <c r="H47" s="29"/>
      <c r="I47" s="30" t="str">
        <f>IF(OR(E47="",H47="",NOT(AND(ISNUMBER(F47),ISNUMBER(H47)))),"",H47*F47*(1+'0. Oppsett'!$C$11))</f>
        <v/>
      </c>
    </row>
    <row r="48" spans="1:9" ht="15.75" thickBot="1" x14ac:dyDescent="0.3">
      <c r="A48" s="21">
        <v>44</v>
      </c>
      <c r="B48" s="36"/>
      <c r="C48" s="18"/>
      <c r="D48" s="18" t="str">
        <f>IFERROR(_xlfn.XLOOKUP($C48,factPensjon[Virksomhetsnr.],factPensjon[Forpliktelser]),"")</f>
        <v/>
      </c>
      <c r="E48" s="27"/>
      <c r="F48" s="28" t="str">
        <f>IFERROR(IF(E48="A",'0. Oppsett'!$C$23,IF(E48="B",'0. Oppsett'!$C$24,IF(E48="C",'0. Oppsett'!$C$25,""))),"")</f>
        <v/>
      </c>
      <c r="G48" s="20">
        <f>SUMIFS(BasilRadata[8E. Oppgi antall årsverk barnehagen har pensjonsforpliktelser for:],'1. BASIL-rådata'!$I$3:$I$500,'X. Satser pensjonstilskudd'!$C48,BasilRadata[År],'0. Oppsett'!$C$8)</f>
        <v>0</v>
      </c>
      <c r="H48" s="29"/>
      <c r="I48" s="30" t="str">
        <f>IF(OR(E48="",H48="",NOT(AND(ISNUMBER(F48),ISNUMBER(H48)))),"",H48*F48*(1+'0. Oppsett'!$C$11))</f>
        <v/>
      </c>
    </row>
    <row r="49" spans="1:9" ht="15.75" thickBot="1" x14ac:dyDescent="0.3">
      <c r="A49" s="17">
        <v>45</v>
      </c>
      <c r="B49" s="36"/>
      <c r="C49" s="18"/>
      <c r="D49" s="18" t="str">
        <f>IFERROR(_xlfn.XLOOKUP($C49,factPensjon[Virksomhetsnr.],factPensjon[Forpliktelser]),"")</f>
        <v/>
      </c>
      <c r="E49" s="27"/>
      <c r="F49" s="28" t="str">
        <f>IFERROR(IF(E49="A",'0. Oppsett'!$C$23,IF(E49="B",'0. Oppsett'!$C$24,IF(E49="C",'0. Oppsett'!$C$25,""))),"")</f>
        <v/>
      </c>
      <c r="G49" s="20">
        <f>SUMIFS(BasilRadata[8E. Oppgi antall årsverk barnehagen har pensjonsforpliktelser for:],'1. BASIL-rådata'!$I$3:$I$500,'X. Satser pensjonstilskudd'!$C49,BasilRadata[År],'0. Oppsett'!$C$8)</f>
        <v>0</v>
      </c>
      <c r="H49" s="29"/>
      <c r="I49" s="30" t="str">
        <f>IF(OR(E49="",H49="",NOT(AND(ISNUMBER(F49),ISNUMBER(H49)))),"",H49*F49*(1+'0. Oppsett'!$C$11))</f>
        <v/>
      </c>
    </row>
    <row r="50" spans="1:9" ht="15.75" thickBot="1" x14ac:dyDescent="0.3">
      <c r="A50" s="21">
        <v>46</v>
      </c>
      <c r="B50" s="36"/>
      <c r="C50" s="18"/>
      <c r="D50" s="18" t="str">
        <f>IFERROR(_xlfn.XLOOKUP($C50,factPensjon[Virksomhetsnr.],factPensjon[Forpliktelser]),"")</f>
        <v/>
      </c>
      <c r="E50" s="27"/>
      <c r="F50" s="28" t="str">
        <f>IFERROR(IF(E50="A",'0. Oppsett'!$C$23,IF(E50="B",'0. Oppsett'!$C$24,IF(E50="C",'0. Oppsett'!$C$25,""))),"")</f>
        <v/>
      </c>
      <c r="G50" s="20">
        <f>SUMIFS(BasilRadata[8E. Oppgi antall årsverk barnehagen har pensjonsforpliktelser for:],'1. BASIL-rådata'!$I$3:$I$500,'X. Satser pensjonstilskudd'!$C50,BasilRadata[År],'0. Oppsett'!$C$8)</f>
        <v>0</v>
      </c>
      <c r="H50" s="29"/>
      <c r="I50" s="30" t="str">
        <f>IF(OR(E50="",H50="",NOT(AND(ISNUMBER(F50),ISNUMBER(H50)))),"",H50*F50*(1+'0. Oppsett'!$C$11))</f>
        <v/>
      </c>
    </row>
    <row r="51" spans="1:9" ht="15.75" thickBot="1" x14ac:dyDescent="0.3">
      <c r="A51" s="17">
        <v>47</v>
      </c>
      <c r="B51" s="36"/>
      <c r="C51" s="18"/>
      <c r="D51" s="18" t="str">
        <f>IFERROR(_xlfn.XLOOKUP($C51,factPensjon[Virksomhetsnr.],factPensjon[Forpliktelser]),"")</f>
        <v/>
      </c>
      <c r="E51" s="27"/>
      <c r="F51" s="28" t="str">
        <f>IFERROR(IF(E51="A",'0. Oppsett'!$C$23,IF(E51="B",'0. Oppsett'!$C$24,IF(E51="C",'0. Oppsett'!$C$25,""))),"")</f>
        <v/>
      </c>
      <c r="G51" s="20">
        <f>SUMIFS(BasilRadata[8E. Oppgi antall årsverk barnehagen har pensjonsforpliktelser for:],'1. BASIL-rådata'!$I$3:$I$500,'X. Satser pensjonstilskudd'!$C51,BasilRadata[År],'0. Oppsett'!$C$8)</f>
        <v>0</v>
      </c>
      <c r="H51" s="29"/>
      <c r="I51" s="30" t="str">
        <f>IF(OR(E51="",H51="",NOT(AND(ISNUMBER(F51),ISNUMBER(H51)))),"",H51*F51*(1+'0. Oppsett'!$C$11))</f>
        <v/>
      </c>
    </row>
    <row r="52" spans="1:9" ht="15.75" thickBot="1" x14ac:dyDescent="0.3">
      <c r="A52" s="21">
        <v>48</v>
      </c>
      <c r="B52" s="36"/>
      <c r="C52" s="18"/>
      <c r="D52" s="18" t="str">
        <f>IFERROR(_xlfn.XLOOKUP($C52,factPensjon[Virksomhetsnr.],factPensjon[Forpliktelser]),"")</f>
        <v/>
      </c>
      <c r="E52" s="27"/>
      <c r="F52" s="28" t="str">
        <f>IFERROR(IF(E52="A",'0. Oppsett'!$C$23,IF(E52="B",'0. Oppsett'!$C$24,IF(E52="C",'0. Oppsett'!$C$25,""))),"")</f>
        <v/>
      </c>
      <c r="G52" s="20">
        <f>SUMIFS(BasilRadata[8E. Oppgi antall årsverk barnehagen har pensjonsforpliktelser for:],'1. BASIL-rådata'!$I$3:$I$500,'X. Satser pensjonstilskudd'!$C52,BasilRadata[År],'0. Oppsett'!$C$8)</f>
        <v>0</v>
      </c>
      <c r="H52" s="29"/>
      <c r="I52" s="30" t="str">
        <f>IF(OR(E52="",H52="",NOT(AND(ISNUMBER(F52),ISNUMBER(H52)))),"",H52*F52*(1+'0. Oppsett'!$C$11))</f>
        <v/>
      </c>
    </row>
    <row r="53" spans="1:9" ht="15.75" thickBot="1" x14ac:dyDescent="0.3">
      <c r="A53" s="17">
        <v>49</v>
      </c>
      <c r="B53" s="36"/>
      <c r="C53" s="18"/>
      <c r="D53" s="18" t="str">
        <f>IFERROR(_xlfn.XLOOKUP($C53,factPensjon[Virksomhetsnr.],factPensjon[Forpliktelser]),"")</f>
        <v/>
      </c>
      <c r="E53" s="27"/>
      <c r="F53" s="28" t="str">
        <f>IFERROR(IF(E53="A",'0. Oppsett'!$C$23,IF(E53="B",'0. Oppsett'!$C$24,IF(E53="C",'0. Oppsett'!$C$25,""))),"")</f>
        <v/>
      </c>
      <c r="G53" s="20">
        <f>SUMIFS(BasilRadata[8E. Oppgi antall årsverk barnehagen har pensjonsforpliktelser for:],'1. BASIL-rådata'!$I$3:$I$500,'X. Satser pensjonstilskudd'!$C53,BasilRadata[År],'0. Oppsett'!$C$8)</f>
        <v>0</v>
      </c>
      <c r="H53" s="29"/>
      <c r="I53" s="30" t="str">
        <f>IF(OR(E53="",H53="",NOT(AND(ISNUMBER(F53),ISNUMBER(H53)))),"",H53*F53*(1+'0. Oppsett'!$C$11))</f>
        <v/>
      </c>
    </row>
    <row r="54" spans="1:9" ht="15.75" thickBot="1" x14ac:dyDescent="0.3">
      <c r="A54" s="21">
        <v>50</v>
      </c>
      <c r="B54" s="36"/>
      <c r="C54" s="18"/>
      <c r="D54" s="18" t="str">
        <f>IFERROR(_xlfn.XLOOKUP($C54,factPensjon[Virksomhetsnr.],factPensjon[Forpliktelser]),"")</f>
        <v/>
      </c>
      <c r="E54" s="27"/>
      <c r="F54" s="28" t="str">
        <f>IFERROR(IF(E54="A",'0. Oppsett'!$C$23,IF(E54="B",'0. Oppsett'!$C$24,IF(E54="C",'0. Oppsett'!$C$25,""))),"")</f>
        <v/>
      </c>
      <c r="G54" s="20">
        <f>SUMIFS(BasilRadata[8E. Oppgi antall årsverk barnehagen har pensjonsforpliktelser for:],'1. BASIL-rådata'!$I$3:$I$500,'X. Satser pensjonstilskudd'!$C54,BasilRadata[År],'0. Oppsett'!$C$8)</f>
        <v>0</v>
      </c>
      <c r="H54" s="29"/>
      <c r="I54" s="30" t="str">
        <f>IF(OR(E54="",H54="",NOT(AND(ISNUMBER(F54),ISNUMBER(H54)))),"",H54*F54*(1+'0. Oppsett'!$C$11))</f>
        <v/>
      </c>
    </row>
    <row r="55" spans="1:9" ht="15.75" thickBot="1" x14ac:dyDescent="0.3">
      <c r="A55" s="17">
        <v>51</v>
      </c>
      <c r="B55" s="36"/>
      <c r="C55" s="18"/>
      <c r="D55" s="18" t="str">
        <f>IFERROR(_xlfn.XLOOKUP($C55,factPensjon[Virksomhetsnr.],factPensjon[Forpliktelser]),"")</f>
        <v/>
      </c>
      <c r="E55" s="27"/>
      <c r="F55" s="28" t="str">
        <f>IFERROR(IF(E55="A",'0. Oppsett'!$C$23,IF(E55="B",'0. Oppsett'!$C$24,IF(E55="C",'0. Oppsett'!$C$25,""))),"")</f>
        <v/>
      </c>
      <c r="G55" s="20">
        <f>SUMIFS(BasilRadata[8E. Oppgi antall årsverk barnehagen har pensjonsforpliktelser for:],'1. BASIL-rådata'!$I$3:$I$500,'X. Satser pensjonstilskudd'!$C55,BasilRadata[År],'0. Oppsett'!$C$8)</f>
        <v>0</v>
      </c>
      <c r="H55" s="29"/>
      <c r="I55" s="30" t="str">
        <f>IF(OR(E55="",H55="",NOT(AND(ISNUMBER(F55),ISNUMBER(H55)))),"",H55*F55*(1+'0. Oppsett'!$C$11))</f>
        <v/>
      </c>
    </row>
    <row r="56" spans="1:9" ht="15.75" thickBot="1" x14ac:dyDescent="0.3">
      <c r="A56" s="21">
        <v>52</v>
      </c>
      <c r="B56" s="36"/>
      <c r="C56" s="18"/>
      <c r="D56" s="18" t="str">
        <f>IFERROR(_xlfn.XLOOKUP($C56,factPensjon[Virksomhetsnr.],factPensjon[Forpliktelser]),"")</f>
        <v/>
      </c>
      <c r="E56" s="27"/>
      <c r="F56" s="28" t="str">
        <f>IFERROR(IF(E56="A",'0. Oppsett'!$C$23,IF(E56="B",'0. Oppsett'!$C$24,IF(E56="C",'0. Oppsett'!$C$25,""))),"")</f>
        <v/>
      </c>
      <c r="G56" s="20">
        <f>SUMIFS(BasilRadata[8E. Oppgi antall årsverk barnehagen har pensjonsforpliktelser for:],'1. BASIL-rådata'!$I$3:$I$500,'X. Satser pensjonstilskudd'!$C56,BasilRadata[År],'0. Oppsett'!$C$8)</f>
        <v>0</v>
      </c>
      <c r="H56" s="29"/>
      <c r="I56" s="30" t="str">
        <f>IF(OR(E56="",H56="",NOT(AND(ISNUMBER(F56),ISNUMBER(H56)))),"",H56*F56*(1+'0. Oppsett'!$C$11))</f>
        <v/>
      </c>
    </row>
    <row r="57" spans="1:9" ht="15.75" thickBot="1" x14ac:dyDescent="0.3">
      <c r="A57" s="17">
        <v>53</v>
      </c>
      <c r="B57" s="36"/>
      <c r="C57" s="18"/>
      <c r="D57" s="18" t="str">
        <f>IFERROR(_xlfn.XLOOKUP($C57,factPensjon[Virksomhetsnr.],factPensjon[Forpliktelser]),"")</f>
        <v/>
      </c>
      <c r="E57" s="27"/>
      <c r="F57" s="28" t="str">
        <f>IFERROR(IF(E57="A",'0. Oppsett'!$C$23,IF(E57="B",'0. Oppsett'!$C$24,IF(E57="C",'0. Oppsett'!$C$25,""))),"")</f>
        <v/>
      </c>
      <c r="G57" s="20">
        <f>SUMIFS(BasilRadata[8E. Oppgi antall årsverk barnehagen har pensjonsforpliktelser for:],'1. BASIL-rådata'!$I$3:$I$500,'X. Satser pensjonstilskudd'!$C57,BasilRadata[År],'0. Oppsett'!$C$8)</f>
        <v>0</v>
      </c>
      <c r="H57" s="29"/>
      <c r="I57" s="30" t="str">
        <f>IF(OR(E57="",H57="",NOT(AND(ISNUMBER(F57),ISNUMBER(H57)))),"",H57*F57*(1+'0. Oppsett'!$C$11))</f>
        <v/>
      </c>
    </row>
    <row r="58" spans="1:9" ht="15.75" thickBot="1" x14ac:dyDescent="0.3">
      <c r="A58" s="21">
        <v>54</v>
      </c>
      <c r="B58" s="36"/>
      <c r="C58" s="18"/>
      <c r="D58" s="18" t="str">
        <f>IFERROR(_xlfn.XLOOKUP($C58,factPensjon[Virksomhetsnr.],factPensjon[Forpliktelser]),"")</f>
        <v/>
      </c>
      <c r="E58" s="27"/>
      <c r="F58" s="28" t="str">
        <f>IFERROR(IF(E58="A",'0. Oppsett'!$C$23,IF(E58="B",'0. Oppsett'!$C$24,IF(E58="C",'0. Oppsett'!$C$25,""))),"")</f>
        <v/>
      </c>
      <c r="G58" s="20">
        <f>SUMIFS(BasilRadata[8E. Oppgi antall årsverk barnehagen har pensjonsforpliktelser for:],'1. BASIL-rådata'!$I$3:$I$500,'X. Satser pensjonstilskudd'!$C58,BasilRadata[År],'0. Oppsett'!$C$8)</f>
        <v>0</v>
      </c>
      <c r="H58" s="29"/>
      <c r="I58" s="30" t="str">
        <f>IF(OR(E58="",H58="",NOT(AND(ISNUMBER(F58),ISNUMBER(H58)))),"",H58*F58*(1+'0. Oppsett'!$C$11))</f>
        <v/>
      </c>
    </row>
    <row r="59" spans="1:9" ht="15.75" thickBot="1" x14ac:dyDescent="0.3">
      <c r="A59" s="17">
        <v>55</v>
      </c>
      <c r="B59" s="36"/>
      <c r="C59" s="18"/>
      <c r="D59" s="18" t="str">
        <f>IFERROR(_xlfn.XLOOKUP($C59,factPensjon[Virksomhetsnr.],factPensjon[Forpliktelser]),"")</f>
        <v/>
      </c>
      <c r="E59" s="27"/>
      <c r="F59" s="28" t="str">
        <f>IFERROR(IF(E59="A",'0. Oppsett'!$C$23,IF(E59="B",'0. Oppsett'!$C$24,IF(E59="C",'0. Oppsett'!$C$25,""))),"")</f>
        <v/>
      </c>
      <c r="G59" s="20">
        <f>SUMIFS(BasilRadata[8E. Oppgi antall årsverk barnehagen har pensjonsforpliktelser for:],'1. BASIL-rådata'!$I$3:$I$500,'X. Satser pensjonstilskudd'!$C59,BasilRadata[År],'0. Oppsett'!$C$8)</f>
        <v>0</v>
      </c>
      <c r="H59" s="29"/>
      <c r="I59" s="30" t="str">
        <f>IF(OR(E59="",H59="",NOT(AND(ISNUMBER(F59),ISNUMBER(H59)))),"",H59*F59*(1+'0. Oppsett'!$C$11))</f>
        <v/>
      </c>
    </row>
    <row r="60" spans="1:9" ht="15.75" thickBot="1" x14ac:dyDescent="0.3">
      <c r="A60" s="21">
        <v>56</v>
      </c>
      <c r="B60" s="36"/>
      <c r="C60" s="18"/>
      <c r="D60" s="18" t="str">
        <f>IFERROR(_xlfn.XLOOKUP($C60,factPensjon[Virksomhetsnr.],factPensjon[Forpliktelser]),"")</f>
        <v/>
      </c>
      <c r="E60" s="27"/>
      <c r="F60" s="28" t="str">
        <f>IFERROR(IF(E60="A",'0. Oppsett'!$C$23,IF(E60="B",'0. Oppsett'!$C$24,IF(E60="C",'0. Oppsett'!$C$25,""))),"")</f>
        <v/>
      </c>
      <c r="G60" s="20">
        <f>SUMIFS(BasilRadata[8E. Oppgi antall årsverk barnehagen har pensjonsforpliktelser for:],'1. BASIL-rådata'!$I$3:$I$500,'X. Satser pensjonstilskudd'!$C60,BasilRadata[År],'0. Oppsett'!$C$8)</f>
        <v>0</v>
      </c>
      <c r="H60" s="29"/>
      <c r="I60" s="30" t="str">
        <f>IF(OR(E60="",H60="",NOT(AND(ISNUMBER(F60),ISNUMBER(H60)))),"",H60*F60*(1+'0. Oppsett'!$C$11))</f>
        <v/>
      </c>
    </row>
    <row r="61" spans="1:9" ht="15.75" thickBot="1" x14ac:dyDescent="0.3">
      <c r="A61" s="17">
        <v>57</v>
      </c>
      <c r="B61" s="36"/>
      <c r="C61" s="18"/>
      <c r="D61" s="18" t="str">
        <f>IFERROR(_xlfn.XLOOKUP($C61,factPensjon[Virksomhetsnr.],factPensjon[Forpliktelser]),"")</f>
        <v/>
      </c>
      <c r="E61" s="27"/>
      <c r="F61" s="28" t="str">
        <f>IFERROR(IF(E61="A",'0. Oppsett'!$C$23,IF(E61="B",'0. Oppsett'!$C$24,IF(E61="C",'0. Oppsett'!$C$25,""))),"")</f>
        <v/>
      </c>
      <c r="G61" s="20">
        <f>SUMIFS(BasilRadata[8E. Oppgi antall årsverk barnehagen har pensjonsforpliktelser for:],'1. BASIL-rådata'!$I$3:$I$500,'X. Satser pensjonstilskudd'!$C61,BasilRadata[År],'0. Oppsett'!$C$8)</f>
        <v>0</v>
      </c>
      <c r="H61" s="29"/>
      <c r="I61" s="30" t="str">
        <f>IF(OR(E61="",H61="",NOT(AND(ISNUMBER(F61),ISNUMBER(H61)))),"",H61*F61*(1+'0. Oppsett'!$C$11))</f>
        <v/>
      </c>
    </row>
    <row r="62" spans="1:9" ht="15.75" thickBot="1" x14ac:dyDescent="0.3">
      <c r="A62" s="21">
        <v>58</v>
      </c>
      <c r="B62" s="36"/>
      <c r="C62" s="18"/>
      <c r="D62" s="18" t="str">
        <f>IFERROR(_xlfn.XLOOKUP($C62,factPensjon[Virksomhetsnr.],factPensjon[Forpliktelser]),"")</f>
        <v/>
      </c>
      <c r="E62" s="27"/>
      <c r="F62" s="28" t="str">
        <f>IFERROR(IF(E62="A",'0. Oppsett'!$C$23,IF(E62="B",'0. Oppsett'!$C$24,IF(E62="C",'0. Oppsett'!$C$25,""))),"")</f>
        <v/>
      </c>
      <c r="G62" s="20">
        <f>SUMIFS(BasilRadata[8E. Oppgi antall årsverk barnehagen har pensjonsforpliktelser for:],'1. BASIL-rådata'!$I$3:$I$500,'X. Satser pensjonstilskudd'!$C62,BasilRadata[År],'0. Oppsett'!$C$8)</f>
        <v>0</v>
      </c>
      <c r="H62" s="29"/>
      <c r="I62" s="30" t="str">
        <f>IF(OR(E62="",H62="",NOT(AND(ISNUMBER(F62),ISNUMBER(H62)))),"",H62*F62*(1+'0. Oppsett'!$C$11))</f>
        <v/>
      </c>
    </row>
    <row r="63" spans="1:9" ht="15.75" thickBot="1" x14ac:dyDescent="0.3">
      <c r="A63" s="17">
        <v>59</v>
      </c>
      <c r="B63" s="36"/>
      <c r="C63" s="18"/>
      <c r="D63" s="18" t="str">
        <f>IFERROR(_xlfn.XLOOKUP($C63,factPensjon[Virksomhetsnr.],factPensjon[Forpliktelser]),"")</f>
        <v/>
      </c>
      <c r="E63" s="27"/>
      <c r="F63" s="28" t="str">
        <f>IFERROR(IF(E63="A",'0. Oppsett'!$C$23,IF(E63="B",'0. Oppsett'!$C$24,IF(E63="C",'0. Oppsett'!$C$25,""))),"")</f>
        <v/>
      </c>
      <c r="G63" s="20">
        <f>SUMIFS(BasilRadata[8E. Oppgi antall årsverk barnehagen har pensjonsforpliktelser for:],'1. BASIL-rådata'!$I$3:$I$500,'X. Satser pensjonstilskudd'!$C63,BasilRadata[År],'0. Oppsett'!$C$8)</f>
        <v>0</v>
      </c>
      <c r="H63" s="29"/>
      <c r="I63" s="30" t="str">
        <f>IF(OR(E63="",H63="",NOT(AND(ISNUMBER(F63),ISNUMBER(H63)))),"",H63*F63*(1+'0. Oppsett'!$C$11))</f>
        <v/>
      </c>
    </row>
    <row r="64" spans="1:9" ht="15.75" thickBot="1" x14ac:dyDescent="0.3">
      <c r="A64" s="21">
        <v>60</v>
      </c>
      <c r="B64" s="36"/>
      <c r="C64" s="18"/>
      <c r="D64" s="18" t="str">
        <f>IFERROR(_xlfn.XLOOKUP($C64,factPensjon[Virksomhetsnr.],factPensjon[Forpliktelser]),"")</f>
        <v/>
      </c>
      <c r="E64" s="27"/>
      <c r="F64" s="28" t="str">
        <f>IFERROR(IF(E64="A",'0. Oppsett'!$C$23,IF(E64="B",'0. Oppsett'!$C$24,IF(E64="C",'0. Oppsett'!$C$25,""))),"")</f>
        <v/>
      </c>
      <c r="G64" s="20">
        <f>SUMIFS(BasilRadata[8E. Oppgi antall årsverk barnehagen har pensjonsforpliktelser for:],'1. BASIL-rådata'!$I$3:$I$500,'X. Satser pensjonstilskudd'!$C64,BasilRadata[År],'0. Oppsett'!$C$8)</f>
        <v>0</v>
      </c>
      <c r="H64" s="29"/>
      <c r="I64" s="30" t="str">
        <f>IF(OR(E64="",H64="",NOT(AND(ISNUMBER(F64),ISNUMBER(H64)))),"",H64*F64*(1+'0. Oppsett'!$C$11))</f>
        <v/>
      </c>
    </row>
    <row r="65" spans="1:9" ht="15.75" thickBot="1" x14ac:dyDescent="0.3">
      <c r="A65" s="17">
        <v>61</v>
      </c>
      <c r="B65" s="36"/>
      <c r="C65" s="18"/>
      <c r="D65" s="18" t="str">
        <f>IFERROR(_xlfn.XLOOKUP($C65,factPensjon[Virksomhetsnr.],factPensjon[Forpliktelser]),"")</f>
        <v/>
      </c>
      <c r="E65" s="27"/>
      <c r="F65" s="28" t="str">
        <f>IFERROR(IF(E65="A",'0. Oppsett'!$C$23,IF(E65="B",'0. Oppsett'!$C$24,IF(E65="C",'0. Oppsett'!$C$25,""))),"")</f>
        <v/>
      </c>
      <c r="G65" s="20">
        <f>SUMIFS(BasilRadata[8E. Oppgi antall årsverk barnehagen har pensjonsforpliktelser for:],'1. BASIL-rådata'!$I$3:$I$500,'X. Satser pensjonstilskudd'!$C65,BasilRadata[År],'0. Oppsett'!$C$8)</f>
        <v>0</v>
      </c>
      <c r="H65" s="29"/>
      <c r="I65" s="30" t="str">
        <f>IF(OR(E65="",H65="",NOT(AND(ISNUMBER(F65),ISNUMBER(H65)))),"",H65*F65*(1+'0. Oppsett'!$C$11))</f>
        <v/>
      </c>
    </row>
    <row r="66" spans="1:9" ht="15.75" thickBot="1" x14ac:dyDescent="0.3">
      <c r="A66" s="21">
        <v>62</v>
      </c>
      <c r="B66" s="36"/>
      <c r="C66" s="18"/>
      <c r="D66" s="18" t="str">
        <f>IFERROR(_xlfn.XLOOKUP($C66,factPensjon[Virksomhetsnr.],factPensjon[Forpliktelser]),"")</f>
        <v/>
      </c>
      <c r="E66" s="27"/>
      <c r="F66" s="28" t="str">
        <f>IFERROR(IF(E66="A",'0. Oppsett'!$C$23,IF(E66="B",'0. Oppsett'!$C$24,IF(E66="C",'0. Oppsett'!$C$25,""))),"")</f>
        <v/>
      </c>
      <c r="G66" s="20">
        <f>SUMIFS(BasilRadata[8E. Oppgi antall årsverk barnehagen har pensjonsforpliktelser for:],'1. BASIL-rådata'!$I$3:$I$500,'X. Satser pensjonstilskudd'!$C66,BasilRadata[År],'0. Oppsett'!$C$8)</f>
        <v>0</v>
      </c>
      <c r="H66" s="29"/>
      <c r="I66" s="30" t="str">
        <f>IF(OR(E66="",H66="",NOT(AND(ISNUMBER(F66),ISNUMBER(H66)))),"",H66*F66*(1+'0. Oppsett'!$C$11))</f>
        <v/>
      </c>
    </row>
    <row r="67" spans="1:9" ht="15.75" thickBot="1" x14ac:dyDescent="0.3">
      <c r="A67" s="17">
        <v>63</v>
      </c>
      <c r="B67" s="36"/>
      <c r="C67" s="18"/>
      <c r="D67" s="18" t="str">
        <f>IFERROR(_xlfn.XLOOKUP($C67,factPensjon[Virksomhetsnr.],factPensjon[Forpliktelser]),"")</f>
        <v/>
      </c>
      <c r="E67" s="27"/>
      <c r="F67" s="28" t="str">
        <f>IFERROR(IF(E67="A",'0. Oppsett'!$C$23,IF(E67="B",'0. Oppsett'!$C$24,IF(E67="C",'0. Oppsett'!$C$25,""))),"")</f>
        <v/>
      </c>
      <c r="G67" s="20">
        <f>SUMIFS(BasilRadata[8E. Oppgi antall årsverk barnehagen har pensjonsforpliktelser for:],'1. BASIL-rådata'!$I$3:$I$500,'X. Satser pensjonstilskudd'!$C67,BasilRadata[År],'0. Oppsett'!$C$8)</f>
        <v>0</v>
      </c>
      <c r="H67" s="29"/>
      <c r="I67" s="30" t="str">
        <f>IF(OR(E67="",H67="",NOT(AND(ISNUMBER(F67),ISNUMBER(H67)))),"",H67*F67*(1+'0. Oppsett'!$C$11))</f>
        <v/>
      </c>
    </row>
    <row r="68" spans="1:9" ht="15.75" thickBot="1" x14ac:dyDescent="0.3">
      <c r="A68" s="21">
        <v>64</v>
      </c>
      <c r="B68" s="36"/>
      <c r="C68" s="18"/>
      <c r="D68" s="18" t="str">
        <f>IFERROR(_xlfn.XLOOKUP($C68,factPensjon[Virksomhetsnr.],factPensjon[Forpliktelser]),"")</f>
        <v/>
      </c>
      <c r="E68" s="27"/>
      <c r="F68" s="28" t="str">
        <f>IFERROR(IF(E68="A",'0. Oppsett'!$C$23,IF(E68="B",'0. Oppsett'!$C$24,IF(E68="C",'0. Oppsett'!$C$25,""))),"")</f>
        <v/>
      </c>
      <c r="G68" s="20">
        <f>SUMIFS(BasilRadata[8E. Oppgi antall årsverk barnehagen har pensjonsforpliktelser for:],'1. BASIL-rådata'!$I$3:$I$500,'X. Satser pensjonstilskudd'!$C68,BasilRadata[År],'0. Oppsett'!$C$8)</f>
        <v>0</v>
      </c>
      <c r="H68" s="29"/>
      <c r="I68" s="30" t="str">
        <f>IF(OR(E68="",H68="",NOT(AND(ISNUMBER(F68),ISNUMBER(H68)))),"",H68*F68*(1+'0. Oppsett'!$C$11))</f>
        <v/>
      </c>
    </row>
    <row r="69" spans="1:9" ht="15.75" thickBot="1" x14ac:dyDescent="0.3">
      <c r="A69" s="17">
        <v>65</v>
      </c>
      <c r="B69" s="36"/>
      <c r="C69" s="18"/>
      <c r="D69" s="18" t="str">
        <f>IFERROR(_xlfn.XLOOKUP($C69,factPensjon[Virksomhetsnr.],factPensjon[Forpliktelser]),"")</f>
        <v/>
      </c>
      <c r="E69" s="27"/>
      <c r="F69" s="28" t="str">
        <f>IFERROR(IF(E69="A",'0. Oppsett'!$C$23,IF(E69="B",'0. Oppsett'!$C$24,IF(E69="C",'0. Oppsett'!$C$25,""))),"")</f>
        <v/>
      </c>
      <c r="G69" s="20">
        <f>SUMIFS(BasilRadata[8E. Oppgi antall årsverk barnehagen har pensjonsforpliktelser for:],'1. BASIL-rådata'!$I$3:$I$500,'X. Satser pensjonstilskudd'!$C69,BasilRadata[År],'0. Oppsett'!$C$8)</f>
        <v>0</v>
      </c>
      <c r="H69" s="29"/>
      <c r="I69" s="30" t="str">
        <f>IF(OR(E69="",H69="",NOT(AND(ISNUMBER(F69),ISNUMBER(H69)))),"",H69*F69*(1+'0. Oppsett'!$C$11))</f>
        <v/>
      </c>
    </row>
    <row r="70" spans="1:9" ht="15.75" thickBot="1" x14ac:dyDescent="0.3">
      <c r="A70" s="21">
        <v>66</v>
      </c>
      <c r="B70" s="36"/>
      <c r="C70" s="18"/>
      <c r="D70" s="18" t="str">
        <f>IFERROR(_xlfn.XLOOKUP($C70,factPensjon[Virksomhetsnr.],factPensjon[Forpliktelser]),"")</f>
        <v/>
      </c>
      <c r="E70" s="27"/>
      <c r="F70" s="28" t="str">
        <f>IFERROR(IF(E70="A",'0. Oppsett'!$C$23,IF(E70="B",'0. Oppsett'!$C$24,IF(E70="C",'0. Oppsett'!$C$25,""))),"")</f>
        <v/>
      </c>
      <c r="G70" s="20">
        <f>SUMIFS(BasilRadata[8E. Oppgi antall årsverk barnehagen har pensjonsforpliktelser for:],'1. BASIL-rådata'!$I$3:$I$500,'X. Satser pensjonstilskudd'!$C70,BasilRadata[År],'0. Oppsett'!$C$8)</f>
        <v>0</v>
      </c>
      <c r="H70" s="29"/>
      <c r="I70" s="30" t="str">
        <f>IF(OR(E70="",H70="",NOT(AND(ISNUMBER(F70),ISNUMBER(H70)))),"",H70*F70*(1+'0. Oppsett'!$C$11))</f>
        <v/>
      </c>
    </row>
    <row r="71" spans="1:9" ht="15.75" thickBot="1" x14ac:dyDescent="0.3">
      <c r="A71" s="17">
        <v>67</v>
      </c>
      <c r="B71" s="36"/>
      <c r="C71" s="18"/>
      <c r="D71" s="18" t="str">
        <f>IFERROR(_xlfn.XLOOKUP($C71,factPensjon[Virksomhetsnr.],factPensjon[Forpliktelser]),"")</f>
        <v/>
      </c>
      <c r="E71" s="27"/>
      <c r="F71" s="28" t="str">
        <f>IFERROR(IF(E71="A",'0. Oppsett'!$C$23,IF(E71="B",'0. Oppsett'!$C$24,IF(E71="C",'0. Oppsett'!$C$25,""))),"")</f>
        <v/>
      </c>
      <c r="G71" s="20">
        <f>SUMIFS(BasilRadata[8E. Oppgi antall årsverk barnehagen har pensjonsforpliktelser for:],'1. BASIL-rådata'!$I$3:$I$500,'X. Satser pensjonstilskudd'!$C71,BasilRadata[År],'0. Oppsett'!$C$8)</f>
        <v>0</v>
      </c>
      <c r="H71" s="29"/>
      <c r="I71" s="30" t="str">
        <f>IF(OR(E71="",H71="",NOT(AND(ISNUMBER(F71),ISNUMBER(H71)))),"",H71*F71*(1+'0. Oppsett'!$C$11))</f>
        <v/>
      </c>
    </row>
    <row r="72" spans="1:9" ht="15.75" thickBot="1" x14ac:dyDescent="0.3">
      <c r="A72" s="21">
        <v>68</v>
      </c>
      <c r="B72" s="36"/>
      <c r="C72" s="18"/>
      <c r="D72" s="18" t="str">
        <f>IFERROR(_xlfn.XLOOKUP($C72,factPensjon[Virksomhetsnr.],factPensjon[Forpliktelser]),"")</f>
        <v/>
      </c>
      <c r="E72" s="27"/>
      <c r="F72" s="28" t="str">
        <f>IFERROR(IF(E72="A",'0. Oppsett'!$C$23,IF(E72="B",'0. Oppsett'!$C$24,IF(E72="C",'0. Oppsett'!$C$25,""))),"")</f>
        <v/>
      </c>
      <c r="G72" s="20">
        <f>SUMIFS(BasilRadata[8E. Oppgi antall årsverk barnehagen har pensjonsforpliktelser for:],'1. BASIL-rådata'!$I$3:$I$500,'X. Satser pensjonstilskudd'!$C72,BasilRadata[År],'0. Oppsett'!$C$8)</f>
        <v>0</v>
      </c>
      <c r="H72" s="29"/>
      <c r="I72" s="30" t="str">
        <f>IF(OR(E72="",H72="",NOT(AND(ISNUMBER(F72),ISNUMBER(H72)))),"",H72*F72*(1+'0. Oppsett'!$C$11))</f>
        <v/>
      </c>
    </row>
    <row r="73" spans="1:9" ht="15.75" thickBot="1" x14ac:dyDescent="0.3">
      <c r="A73" s="17">
        <v>69</v>
      </c>
      <c r="B73" s="36"/>
      <c r="C73" s="18"/>
      <c r="D73" s="18" t="str">
        <f>IFERROR(_xlfn.XLOOKUP($C73,factPensjon[Virksomhetsnr.],factPensjon[Forpliktelser]),"")</f>
        <v/>
      </c>
      <c r="E73" s="27"/>
      <c r="F73" s="28" t="str">
        <f>IFERROR(IF(E73="A",'0. Oppsett'!$C$23,IF(E73="B",'0. Oppsett'!$C$24,IF(E73="C",'0. Oppsett'!$C$25,""))),"")</f>
        <v/>
      </c>
      <c r="G73" s="20">
        <f>SUMIFS(BasilRadata[8E. Oppgi antall årsverk barnehagen har pensjonsforpliktelser for:],'1. BASIL-rådata'!$I$3:$I$500,'X. Satser pensjonstilskudd'!$C73,BasilRadata[År],'0. Oppsett'!$C$8)</f>
        <v>0</v>
      </c>
      <c r="H73" s="29"/>
      <c r="I73" s="30" t="str">
        <f>IF(OR(E73="",H73="",NOT(AND(ISNUMBER(F73),ISNUMBER(H73)))),"",H73*F73*(1+'0. Oppsett'!$C$11))</f>
        <v/>
      </c>
    </row>
    <row r="74" spans="1:9" ht="15.75" thickBot="1" x14ac:dyDescent="0.3">
      <c r="A74" s="21">
        <v>70</v>
      </c>
      <c r="B74" s="36"/>
      <c r="C74" s="18"/>
      <c r="D74" s="18" t="str">
        <f>IFERROR(_xlfn.XLOOKUP($C74,factPensjon[Virksomhetsnr.],factPensjon[Forpliktelser]),"")</f>
        <v/>
      </c>
      <c r="E74" s="27"/>
      <c r="F74" s="28" t="str">
        <f>IFERROR(IF(E74="A",'0. Oppsett'!$C$23,IF(E74="B",'0. Oppsett'!$C$24,IF(E74="C",'0. Oppsett'!$C$25,""))),"")</f>
        <v/>
      </c>
      <c r="G74" s="20">
        <f>SUMIFS(BasilRadata[8E. Oppgi antall årsverk barnehagen har pensjonsforpliktelser for:],'1. BASIL-rådata'!$I$3:$I$500,'X. Satser pensjonstilskudd'!$C74,BasilRadata[År],'0. Oppsett'!$C$8)</f>
        <v>0</v>
      </c>
      <c r="H74" s="29"/>
      <c r="I74" s="30" t="str">
        <f>IF(OR(E74="",H74="",NOT(AND(ISNUMBER(F74),ISNUMBER(H74)))),"",H74*F74*(1+'0. Oppsett'!$C$11))</f>
        <v/>
      </c>
    </row>
    <row r="75" spans="1:9" ht="15.75" thickBot="1" x14ac:dyDescent="0.3">
      <c r="A75" s="17">
        <v>71</v>
      </c>
      <c r="B75" s="36"/>
      <c r="C75" s="18"/>
      <c r="D75" s="18" t="str">
        <f>IFERROR(_xlfn.XLOOKUP($C75,factPensjon[Virksomhetsnr.],factPensjon[Forpliktelser]),"")</f>
        <v/>
      </c>
      <c r="E75" s="27"/>
      <c r="F75" s="28" t="str">
        <f>IFERROR(IF(E75="A",'0. Oppsett'!$C$23,IF(E75="B",'0. Oppsett'!$C$24,IF(E75="C",'0. Oppsett'!$C$25,""))),"")</f>
        <v/>
      </c>
      <c r="G75" s="20">
        <f>SUMIFS(BasilRadata[8E. Oppgi antall årsverk barnehagen har pensjonsforpliktelser for:],'1. BASIL-rådata'!$I$3:$I$500,'X. Satser pensjonstilskudd'!$C75,BasilRadata[År],'0. Oppsett'!$C$8)</f>
        <v>0</v>
      </c>
      <c r="H75" s="29"/>
      <c r="I75" s="30" t="str">
        <f>IF(OR(E75="",H75="",NOT(AND(ISNUMBER(F75),ISNUMBER(H75)))),"",H75*F75*(1+'0. Oppsett'!$C$11))</f>
        <v/>
      </c>
    </row>
    <row r="76" spans="1:9" ht="15.75" thickBot="1" x14ac:dyDescent="0.3">
      <c r="A76" s="21">
        <v>72</v>
      </c>
      <c r="B76" s="36"/>
      <c r="C76" s="18"/>
      <c r="D76" s="18" t="str">
        <f>IFERROR(_xlfn.XLOOKUP($C76,factPensjon[Virksomhetsnr.],factPensjon[Forpliktelser]),"")</f>
        <v/>
      </c>
      <c r="E76" s="27"/>
      <c r="F76" s="28" t="str">
        <f>IFERROR(IF(E76="A",'0. Oppsett'!$C$23,IF(E76="B",'0. Oppsett'!$C$24,IF(E76="C",'0. Oppsett'!$C$25,""))),"")</f>
        <v/>
      </c>
      <c r="G76" s="20">
        <f>SUMIFS(BasilRadata[8E. Oppgi antall årsverk barnehagen har pensjonsforpliktelser for:],'1. BASIL-rådata'!$I$3:$I$500,'X. Satser pensjonstilskudd'!$C76,BasilRadata[År],'0. Oppsett'!$C$8)</f>
        <v>0</v>
      </c>
      <c r="H76" s="29"/>
      <c r="I76" s="30" t="str">
        <f>IF(OR(E76="",H76="",NOT(AND(ISNUMBER(F76),ISNUMBER(H76)))),"",H76*F76*(1+'0. Oppsett'!$C$11))</f>
        <v/>
      </c>
    </row>
    <row r="77" spans="1:9" ht="15.75" thickBot="1" x14ac:dyDescent="0.3">
      <c r="A77" s="17">
        <v>73</v>
      </c>
      <c r="B77" s="36"/>
      <c r="C77" s="18"/>
      <c r="D77" s="18" t="str">
        <f>IFERROR(_xlfn.XLOOKUP($C77,factPensjon[Virksomhetsnr.],factPensjon[Forpliktelser]),"")</f>
        <v/>
      </c>
      <c r="E77" s="27"/>
      <c r="F77" s="28" t="str">
        <f>IFERROR(IF(E77="A",'0. Oppsett'!$C$23,IF(E77="B",'0. Oppsett'!$C$24,IF(E77="C",'0. Oppsett'!$C$25,""))),"")</f>
        <v/>
      </c>
      <c r="G77" s="20">
        <f>SUMIFS(BasilRadata[8E. Oppgi antall årsverk barnehagen har pensjonsforpliktelser for:],'1. BASIL-rådata'!$I$3:$I$500,'X. Satser pensjonstilskudd'!$C77,BasilRadata[År],'0. Oppsett'!$C$8)</f>
        <v>0</v>
      </c>
      <c r="H77" s="29"/>
      <c r="I77" s="30" t="str">
        <f>IF(OR(E77="",H77="",NOT(AND(ISNUMBER(F77),ISNUMBER(H77)))),"",H77*F77*(1+'0. Oppsett'!$C$11))</f>
        <v/>
      </c>
    </row>
    <row r="78" spans="1:9" ht="15.75" thickBot="1" x14ac:dyDescent="0.3">
      <c r="A78" s="21">
        <v>74</v>
      </c>
      <c r="B78" s="36"/>
      <c r="C78" s="18"/>
      <c r="D78" s="18" t="str">
        <f>IFERROR(_xlfn.XLOOKUP($C78,factPensjon[Virksomhetsnr.],factPensjon[Forpliktelser]),"")</f>
        <v/>
      </c>
      <c r="E78" s="27"/>
      <c r="F78" s="28" t="str">
        <f>IFERROR(IF(E78="A",'0. Oppsett'!$C$23,IF(E78="B",'0. Oppsett'!$C$24,IF(E78="C",'0. Oppsett'!$C$25,""))),"")</f>
        <v/>
      </c>
      <c r="G78" s="20">
        <f>SUMIFS(BasilRadata[8E. Oppgi antall årsverk barnehagen har pensjonsforpliktelser for:],'1. BASIL-rådata'!$I$3:$I$500,'X. Satser pensjonstilskudd'!$C78,BasilRadata[År],'0. Oppsett'!$C$8)</f>
        <v>0</v>
      </c>
      <c r="H78" s="29"/>
      <c r="I78" s="30" t="str">
        <f>IF(OR(E78="",H78="",NOT(AND(ISNUMBER(F78),ISNUMBER(H78)))),"",H78*F78*(1+'0. Oppsett'!$C$11))</f>
        <v/>
      </c>
    </row>
    <row r="79" spans="1:9" ht="15.75" thickBot="1" x14ac:dyDescent="0.3">
      <c r="A79" s="17">
        <v>75</v>
      </c>
      <c r="B79" s="36"/>
      <c r="C79" s="18"/>
      <c r="D79" s="18" t="str">
        <f>IFERROR(_xlfn.XLOOKUP($C79,factPensjon[Virksomhetsnr.],factPensjon[Forpliktelser]),"")</f>
        <v/>
      </c>
      <c r="E79" s="27"/>
      <c r="F79" s="28" t="str">
        <f>IFERROR(IF(E79="A",'0. Oppsett'!$C$23,IF(E79="B",'0. Oppsett'!$C$24,IF(E79="C",'0. Oppsett'!$C$25,""))),"")</f>
        <v/>
      </c>
      <c r="G79" s="20">
        <f>SUMIFS(BasilRadata[8E. Oppgi antall årsverk barnehagen har pensjonsforpliktelser for:],'1. BASIL-rådata'!$I$3:$I$500,'X. Satser pensjonstilskudd'!$C79,BasilRadata[År],'0. Oppsett'!$C$8)</f>
        <v>0</v>
      </c>
      <c r="H79" s="29"/>
      <c r="I79" s="30" t="str">
        <f>IF(OR(E79="",H79="",NOT(AND(ISNUMBER(F79),ISNUMBER(H79)))),"",H79*F79*(1+'0. Oppsett'!$C$11))</f>
        <v/>
      </c>
    </row>
    <row r="80" spans="1:9" ht="15.75" thickBot="1" x14ac:dyDescent="0.3">
      <c r="A80" s="21">
        <v>76</v>
      </c>
      <c r="B80" s="36"/>
      <c r="C80" s="18"/>
      <c r="D80" s="18" t="str">
        <f>IFERROR(_xlfn.XLOOKUP($C80,factPensjon[Virksomhetsnr.],factPensjon[Forpliktelser]),"")</f>
        <v/>
      </c>
      <c r="E80" s="27"/>
      <c r="F80" s="28" t="str">
        <f>IFERROR(IF(E80="A",'0. Oppsett'!$C$23,IF(E80="B",'0. Oppsett'!$C$24,IF(E80="C",'0. Oppsett'!$C$25,""))),"")</f>
        <v/>
      </c>
      <c r="G80" s="20">
        <f>SUMIFS(BasilRadata[8E. Oppgi antall årsverk barnehagen har pensjonsforpliktelser for:],'1. BASIL-rådata'!$I$3:$I$500,'X. Satser pensjonstilskudd'!$C80,BasilRadata[År],'0. Oppsett'!$C$8)</f>
        <v>0</v>
      </c>
      <c r="H80" s="29"/>
      <c r="I80" s="30" t="str">
        <f>IF(OR(E80="",H80="",NOT(AND(ISNUMBER(F80),ISNUMBER(H80)))),"",H80*F80*(1+'0. Oppsett'!$C$11))</f>
        <v/>
      </c>
    </row>
    <row r="81" spans="1:9" ht="15.75" thickBot="1" x14ac:dyDescent="0.3">
      <c r="A81" s="17">
        <v>77</v>
      </c>
      <c r="B81" s="36"/>
      <c r="C81" s="18"/>
      <c r="D81" s="18" t="str">
        <f>IFERROR(_xlfn.XLOOKUP($C81,factPensjon[Virksomhetsnr.],factPensjon[Forpliktelser]),"")</f>
        <v/>
      </c>
      <c r="E81" s="27"/>
      <c r="F81" s="28" t="str">
        <f>IFERROR(IF(E81="A",'0. Oppsett'!$C$23,IF(E81="B",'0. Oppsett'!$C$24,IF(E81="C",'0. Oppsett'!$C$25,""))),"")</f>
        <v/>
      </c>
      <c r="G81" s="20">
        <f>SUMIFS(BasilRadata[8E. Oppgi antall årsverk barnehagen har pensjonsforpliktelser for:],'1. BASIL-rådata'!$I$3:$I$500,'X. Satser pensjonstilskudd'!$C81,BasilRadata[År],'0. Oppsett'!$C$8)</f>
        <v>0</v>
      </c>
      <c r="H81" s="29"/>
      <c r="I81" s="30" t="str">
        <f>IF(OR(E81="",H81="",NOT(AND(ISNUMBER(F81),ISNUMBER(H81)))),"",H81*F81*(1+'0. Oppsett'!$C$11))</f>
        <v/>
      </c>
    </row>
    <row r="82" spans="1:9" ht="15.75" thickBot="1" x14ac:dyDescent="0.3">
      <c r="A82" s="21">
        <v>78</v>
      </c>
      <c r="B82" s="36"/>
      <c r="C82" s="18"/>
      <c r="D82" s="18" t="str">
        <f>IFERROR(_xlfn.XLOOKUP($C82,factPensjon[Virksomhetsnr.],factPensjon[Forpliktelser]),"")</f>
        <v/>
      </c>
      <c r="E82" s="27"/>
      <c r="F82" s="28" t="str">
        <f>IFERROR(IF(E82="A",'0. Oppsett'!$C$23,IF(E82="B",'0. Oppsett'!$C$24,IF(E82="C",'0. Oppsett'!$C$25,""))),"")</f>
        <v/>
      </c>
      <c r="G82" s="20">
        <f>SUMIFS(BasilRadata[8E. Oppgi antall årsverk barnehagen har pensjonsforpliktelser for:],'1. BASIL-rådata'!$I$3:$I$500,'X. Satser pensjonstilskudd'!$C82,BasilRadata[År],'0. Oppsett'!$C$8)</f>
        <v>0</v>
      </c>
      <c r="H82" s="29"/>
      <c r="I82" s="30" t="str">
        <f>IF(OR(E82="",H82="",NOT(AND(ISNUMBER(F82),ISNUMBER(H82)))),"",H82*F82*(1+'0. Oppsett'!$C$11))</f>
        <v/>
      </c>
    </row>
    <row r="83" spans="1:9" ht="15.75" thickBot="1" x14ac:dyDescent="0.3">
      <c r="A83" s="17">
        <v>79</v>
      </c>
      <c r="B83" s="36"/>
      <c r="C83" s="18"/>
      <c r="D83" s="18" t="str">
        <f>IFERROR(_xlfn.XLOOKUP($C83,factPensjon[Virksomhetsnr.],factPensjon[Forpliktelser]),"")</f>
        <v/>
      </c>
      <c r="E83" s="27"/>
      <c r="F83" s="28" t="str">
        <f>IFERROR(IF(E83="A",'0. Oppsett'!$C$23,IF(E83="B",'0. Oppsett'!$C$24,IF(E83="C",'0. Oppsett'!$C$25,""))),"")</f>
        <v/>
      </c>
      <c r="G83" s="20">
        <f>SUMIFS(BasilRadata[8E. Oppgi antall årsverk barnehagen har pensjonsforpliktelser for:],'1. BASIL-rådata'!$I$3:$I$500,'X. Satser pensjonstilskudd'!$C83,BasilRadata[År],'0. Oppsett'!$C$8)</f>
        <v>0</v>
      </c>
      <c r="H83" s="29"/>
      <c r="I83" s="30" t="str">
        <f>IF(OR(E83="",H83="",NOT(AND(ISNUMBER(F83),ISNUMBER(H83)))),"",H83*F83*(1+'0. Oppsett'!$C$11))</f>
        <v/>
      </c>
    </row>
    <row r="84" spans="1:9" ht="15.75" thickBot="1" x14ac:dyDescent="0.3">
      <c r="A84" s="21">
        <v>80</v>
      </c>
      <c r="B84" s="36"/>
      <c r="C84" s="18"/>
      <c r="D84" s="18" t="str">
        <f>IFERROR(_xlfn.XLOOKUP($C84,factPensjon[Virksomhetsnr.],factPensjon[Forpliktelser]),"")</f>
        <v/>
      </c>
      <c r="E84" s="27"/>
      <c r="F84" s="28" t="str">
        <f>IFERROR(IF(E84="A",'0. Oppsett'!$C$23,IF(E84="B",'0. Oppsett'!$C$24,IF(E84="C",'0. Oppsett'!$C$25,""))),"")</f>
        <v/>
      </c>
      <c r="G84" s="20">
        <f>SUMIFS(BasilRadata[8E. Oppgi antall årsverk barnehagen har pensjonsforpliktelser for:],'1. BASIL-rådata'!$I$3:$I$500,'X. Satser pensjonstilskudd'!$C84,BasilRadata[År],'0. Oppsett'!$C$8)</f>
        <v>0</v>
      </c>
      <c r="H84" s="29"/>
      <c r="I84" s="30" t="str">
        <f>IF(OR(E84="",H84="",NOT(AND(ISNUMBER(F84),ISNUMBER(H84)))),"",H84*F84*(1+'0. Oppsett'!$C$11))</f>
        <v/>
      </c>
    </row>
    <row r="85" spans="1:9" ht="15.75" thickBot="1" x14ac:dyDescent="0.3">
      <c r="A85" s="17">
        <v>81</v>
      </c>
      <c r="B85" s="36"/>
      <c r="C85" s="18"/>
      <c r="D85" s="18" t="str">
        <f>IFERROR(_xlfn.XLOOKUP($C85,factPensjon[Virksomhetsnr.],factPensjon[Forpliktelser]),"")</f>
        <v/>
      </c>
      <c r="E85" s="27"/>
      <c r="F85" s="28" t="str">
        <f>IFERROR(IF(E85="A",'0. Oppsett'!$C$23,IF(E85="B",'0. Oppsett'!$C$24,IF(E85="C",'0. Oppsett'!$C$25,""))),"")</f>
        <v/>
      </c>
      <c r="G85" s="20">
        <f>SUMIFS(BasilRadata[8E. Oppgi antall årsverk barnehagen har pensjonsforpliktelser for:],'1. BASIL-rådata'!$I$3:$I$500,'X. Satser pensjonstilskudd'!$C85,BasilRadata[År],'0. Oppsett'!$C$8)</f>
        <v>0</v>
      </c>
      <c r="H85" s="29"/>
      <c r="I85" s="30" t="str">
        <f>IF(OR(E85="",H85="",NOT(AND(ISNUMBER(F85),ISNUMBER(H85)))),"",H85*F85*(1+'0. Oppsett'!$C$11))</f>
        <v/>
      </c>
    </row>
    <row r="86" spans="1:9" ht="15.75" thickBot="1" x14ac:dyDescent="0.3">
      <c r="A86" s="21">
        <v>82</v>
      </c>
      <c r="B86" s="36"/>
      <c r="C86" s="18"/>
      <c r="D86" s="18" t="str">
        <f>IFERROR(_xlfn.XLOOKUP($C86,factPensjon[Virksomhetsnr.],factPensjon[Forpliktelser]),"")</f>
        <v/>
      </c>
      <c r="E86" s="27"/>
      <c r="F86" s="28" t="str">
        <f>IFERROR(IF(E86="A",'0. Oppsett'!$C$23,IF(E86="B",'0. Oppsett'!$C$24,IF(E86="C",'0. Oppsett'!$C$25,""))),"")</f>
        <v/>
      </c>
      <c r="G86" s="20">
        <f>SUMIFS(BasilRadata[8E. Oppgi antall årsverk barnehagen har pensjonsforpliktelser for:],'1. BASIL-rådata'!$I$3:$I$500,'X. Satser pensjonstilskudd'!$C86,BasilRadata[År],'0. Oppsett'!$C$8)</f>
        <v>0</v>
      </c>
      <c r="H86" s="29"/>
      <c r="I86" s="30" t="str">
        <f>IF(OR(E86="",H86="",NOT(AND(ISNUMBER(F86),ISNUMBER(H86)))),"",H86*F86*(1+'0. Oppsett'!$C$11))</f>
        <v/>
      </c>
    </row>
    <row r="87" spans="1:9" ht="15.75" thickBot="1" x14ac:dyDescent="0.3">
      <c r="A87" s="17">
        <v>83</v>
      </c>
      <c r="B87" s="36"/>
      <c r="C87" s="18"/>
      <c r="D87" s="18" t="str">
        <f>IFERROR(_xlfn.XLOOKUP($C87,factPensjon[Virksomhetsnr.],factPensjon[Forpliktelser]),"")</f>
        <v/>
      </c>
      <c r="E87" s="27"/>
      <c r="F87" s="28" t="str">
        <f>IFERROR(IF(E87="A",'0. Oppsett'!$C$23,IF(E87="B",'0. Oppsett'!$C$24,IF(E87="C",'0. Oppsett'!$C$25,""))),"")</f>
        <v/>
      </c>
      <c r="G87" s="20">
        <f>SUMIFS(BasilRadata[8E. Oppgi antall årsverk barnehagen har pensjonsforpliktelser for:],'1. BASIL-rådata'!$I$3:$I$500,'X. Satser pensjonstilskudd'!$C87,BasilRadata[År],'0. Oppsett'!$C$8)</f>
        <v>0</v>
      </c>
      <c r="H87" s="29"/>
      <c r="I87" s="30" t="str">
        <f>IF(OR(E87="",H87="",NOT(AND(ISNUMBER(F87),ISNUMBER(H87)))),"",H87*F87*(1+'0. Oppsett'!$C$11))</f>
        <v/>
      </c>
    </row>
    <row r="88" spans="1:9" ht="15.75" thickBot="1" x14ac:dyDescent="0.3">
      <c r="A88" s="21">
        <v>84</v>
      </c>
      <c r="B88" s="36"/>
      <c r="C88" s="18"/>
      <c r="D88" s="18" t="str">
        <f>IFERROR(_xlfn.XLOOKUP($C88,factPensjon[Virksomhetsnr.],factPensjon[Forpliktelser]),"")</f>
        <v/>
      </c>
      <c r="E88" s="27"/>
      <c r="F88" s="28" t="str">
        <f>IFERROR(IF(E88="A",'0. Oppsett'!$C$23,IF(E88="B",'0. Oppsett'!$C$24,IF(E88="C",'0. Oppsett'!$C$25,""))),"")</f>
        <v/>
      </c>
      <c r="G88" s="20">
        <f>SUMIFS(BasilRadata[8E. Oppgi antall årsverk barnehagen har pensjonsforpliktelser for:],'1. BASIL-rådata'!$I$3:$I$500,'X. Satser pensjonstilskudd'!$C88,BasilRadata[År],'0. Oppsett'!$C$8)</f>
        <v>0</v>
      </c>
      <c r="H88" s="29"/>
      <c r="I88" s="30" t="str">
        <f>IF(OR(E88="",H88="",NOT(AND(ISNUMBER(F88),ISNUMBER(H88)))),"",H88*F88*(1+'0. Oppsett'!$C$11))</f>
        <v/>
      </c>
    </row>
    <row r="89" spans="1:9" ht="15.75" thickBot="1" x14ac:dyDescent="0.3">
      <c r="A89" s="17">
        <v>85</v>
      </c>
      <c r="B89" s="36"/>
      <c r="C89" s="18"/>
      <c r="D89" s="18" t="str">
        <f>IFERROR(_xlfn.XLOOKUP($C89,factPensjon[Virksomhetsnr.],factPensjon[Forpliktelser]),"")</f>
        <v/>
      </c>
      <c r="E89" s="27"/>
      <c r="F89" s="28" t="str">
        <f>IFERROR(IF(E89="A",'0. Oppsett'!$C$23,IF(E89="B",'0. Oppsett'!$C$24,IF(E89="C",'0. Oppsett'!$C$25,""))),"")</f>
        <v/>
      </c>
      <c r="G89" s="20">
        <f>SUMIFS(BasilRadata[8E. Oppgi antall årsverk barnehagen har pensjonsforpliktelser for:],'1. BASIL-rådata'!$I$3:$I$500,'X. Satser pensjonstilskudd'!$C89,BasilRadata[År],'0. Oppsett'!$C$8)</f>
        <v>0</v>
      </c>
      <c r="H89" s="29"/>
      <c r="I89" s="30" t="str">
        <f>IF(OR(E89="",H89="",NOT(AND(ISNUMBER(F89),ISNUMBER(H89)))),"",H89*F89*(1+'0. Oppsett'!$C$11))</f>
        <v/>
      </c>
    </row>
    <row r="90" spans="1:9" ht="15.75" thickBot="1" x14ac:dyDescent="0.3">
      <c r="A90" s="21">
        <v>86</v>
      </c>
      <c r="B90" s="36"/>
      <c r="C90" s="18"/>
      <c r="D90" s="18" t="str">
        <f>IFERROR(_xlfn.XLOOKUP($C90,factPensjon[Virksomhetsnr.],factPensjon[Forpliktelser]),"")</f>
        <v/>
      </c>
      <c r="E90" s="27"/>
      <c r="F90" s="28" t="str">
        <f>IFERROR(IF(E90="A",'0. Oppsett'!$C$23,IF(E90="B",'0. Oppsett'!$C$24,IF(E90="C",'0. Oppsett'!$C$25,""))),"")</f>
        <v/>
      </c>
      <c r="G90" s="20">
        <f>SUMIFS(BasilRadata[8E. Oppgi antall årsverk barnehagen har pensjonsforpliktelser for:],'1. BASIL-rådata'!$I$3:$I$500,'X. Satser pensjonstilskudd'!$C90,BasilRadata[År],'0. Oppsett'!$C$8)</f>
        <v>0</v>
      </c>
      <c r="H90" s="29"/>
      <c r="I90" s="30" t="str">
        <f>IF(OR(E90="",H90="",NOT(AND(ISNUMBER(F90),ISNUMBER(H90)))),"",H90*F90*(1+'0. Oppsett'!$C$11))</f>
        <v/>
      </c>
    </row>
    <row r="91" spans="1:9" ht="15.75" thickBot="1" x14ac:dyDescent="0.3">
      <c r="A91" s="17">
        <v>87</v>
      </c>
      <c r="B91" s="36"/>
      <c r="C91" s="18"/>
      <c r="D91" s="18" t="str">
        <f>IFERROR(_xlfn.XLOOKUP($C91,factPensjon[Virksomhetsnr.],factPensjon[Forpliktelser]),"")</f>
        <v/>
      </c>
      <c r="E91" s="27"/>
      <c r="F91" s="28" t="str">
        <f>IFERROR(IF(E91="A",'0. Oppsett'!$C$23,IF(E91="B",'0. Oppsett'!$C$24,IF(E91="C",'0. Oppsett'!$C$25,""))),"")</f>
        <v/>
      </c>
      <c r="G91" s="20">
        <f>SUMIFS(BasilRadata[8E. Oppgi antall årsverk barnehagen har pensjonsforpliktelser for:],'1. BASIL-rådata'!$I$3:$I$500,'X. Satser pensjonstilskudd'!$C91,BasilRadata[År],'0. Oppsett'!$C$8)</f>
        <v>0</v>
      </c>
      <c r="H91" s="29"/>
      <c r="I91" s="30" t="str">
        <f>IF(OR(E91="",H91="",NOT(AND(ISNUMBER(F91),ISNUMBER(H91)))),"",H91*F91*(1+'0. Oppsett'!$C$11))</f>
        <v/>
      </c>
    </row>
    <row r="92" spans="1:9" ht="15.75" thickBot="1" x14ac:dyDescent="0.3">
      <c r="A92" s="21">
        <v>88</v>
      </c>
      <c r="B92" s="36"/>
      <c r="C92" s="18"/>
      <c r="D92" s="18" t="str">
        <f>IFERROR(_xlfn.XLOOKUP($C92,factPensjon[Virksomhetsnr.],factPensjon[Forpliktelser]),"")</f>
        <v/>
      </c>
      <c r="E92" s="27"/>
      <c r="F92" s="28" t="str">
        <f>IFERROR(IF(E92="A",'0. Oppsett'!$C$23,IF(E92="B",'0. Oppsett'!$C$24,IF(E92="C",'0. Oppsett'!$C$25,""))),"")</f>
        <v/>
      </c>
      <c r="G92" s="20">
        <f>SUMIFS(BasilRadata[8E. Oppgi antall årsverk barnehagen har pensjonsforpliktelser for:],'1. BASIL-rådata'!$I$3:$I$500,'X. Satser pensjonstilskudd'!$C92,BasilRadata[År],'0. Oppsett'!$C$8)</f>
        <v>0</v>
      </c>
      <c r="H92" s="29"/>
      <c r="I92" s="30" t="str">
        <f>IF(OR(E92="",H92="",NOT(AND(ISNUMBER(F92),ISNUMBER(H92)))),"",H92*F92*(1+'0. Oppsett'!$C$11))</f>
        <v/>
      </c>
    </row>
    <row r="93" spans="1:9" ht="15.75" thickBot="1" x14ac:dyDescent="0.3">
      <c r="A93" s="17">
        <v>89</v>
      </c>
      <c r="B93" s="36"/>
      <c r="C93" s="18"/>
      <c r="D93" s="18" t="str">
        <f>IFERROR(_xlfn.XLOOKUP($C93,factPensjon[Virksomhetsnr.],factPensjon[Forpliktelser]),"")</f>
        <v/>
      </c>
      <c r="E93" s="27"/>
      <c r="F93" s="28" t="str">
        <f>IFERROR(IF(E93="A",'0. Oppsett'!$C$23,IF(E93="B",'0. Oppsett'!$C$24,IF(E93="C",'0. Oppsett'!$C$25,""))),"")</f>
        <v/>
      </c>
      <c r="G93" s="20">
        <f>SUMIFS(BasilRadata[8E. Oppgi antall årsverk barnehagen har pensjonsforpliktelser for:],'1. BASIL-rådata'!$I$3:$I$500,'X. Satser pensjonstilskudd'!$C93,BasilRadata[År],'0. Oppsett'!$C$8)</f>
        <v>0</v>
      </c>
      <c r="H93" s="29"/>
      <c r="I93" s="30" t="str">
        <f>IF(OR(E93="",H93="",NOT(AND(ISNUMBER(F93),ISNUMBER(H93)))),"",H93*F93*(1+'0. Oppsett'!$C$11))</f>
        <v/>
      </c>
    </row>
    <row r="94" spans="1:9" ht="15.75" thickBot="1" x14ac:dyDescent="0.3">
      <c r="A94" s="21">
        <v>90</v>
      </c>
      <c r="B94" s="36"/>
      <c r="C94" s="18"/>
      <c r="D94" s="18" t="str">
        <f>IFERROR(_xlfn.XLOOKUP($C94,factPensjon[Virksomhetsnr.],factPensjon[Forpliktelser]),"")</f>
        <v/>
      </c>
      <c r="E94" s="27"/>
      <c r="F94" s="28" t="str">
        <f>IFERROR(IF(E94="A",'0. Oppsett'!$C$23,IF(E94="B",'0. Oppsett'!$C$24,IF(E94="C",'0. Oppsett'!$C$25,""))),"")</f>
        <v/>
      </c>
      <c r="G94" s="20">
        <f>SUMIFS(BasilRadata[8E. Oppgi antall årsverk barnehagen har pensjonsforpliktelser for:],'1. BASIL-rådata'!$I$3:$I$500,'X. Satser pensjonstilskudd'!$C94,BasilRadata[År],'0. Oppsett'!$C$8)</f>
        <v>0</v>
      </c>
      <c r="H94" s="29"/>
      <c r="I94" s="30" t="str">
        <f>IF(OR(E94="",H94="",NOT(AND(ISNUMBER(F94),ISNUMBER(H94)))),"",H94*F94*(1+'0. Oppsett'!$C$11))</f>
        <v/>
      </c>
    </row>
    <row r="95" spans="1:9" ht="15.75" thickBot="1" x14ac:dyDescent="0.3">
      <c r="A95" s="17">
        <v>91</v>
      </c>
      <c r="B95" s="36"/>
      <c r="C95" s="18"/>
      <c r="D95" s="18" t="str">
        <f>IFERROR(_xlfn.XLOOKUP($C95,factPensjon[Virksomhetsnr.],factPensjon[Forpliktelser]),"")</f>
        <v/>
      </c>
      <c r="E95" s="27"/>
      <c r="F95" s="28" t="str">
        <f>IFERROR(IF(E95="A",'0. Oppsett'!$C$23,IF(E95="B",'0. Oppsett'!$C$24,IF(E95="C",'0. Oppsett'!$C$25,""))),"")</f>
        <v/>
      </c>
      <c r="G95" s="20">
        <f>SUMIFS(BasilRadata[8E. Oppgi antall årsverk barnehagen har pensjonsforpliktelser for:],'1. BASIL-rådata'!$I$3:$I$500,'X. Satser pensjonstilskudd'!$C95,BasilRadata[År],'0. Oppsett'!$C$8)</f>
        <v>0</v>
      </c>
      <c r="H95" s="29"/>
      <c r="I95" s="30" t="str">
        <f>IF(OR(E95="",H95="",NOT(AND(ISNUMBER(F95),ISNUMBER(H95)))),"",H95*F95*(1+'0. Oppsett'!$C$11))</f>
        <v/>
      </c>
    </row>
    <row r="96" spans="1:9" ht="15.75" thickBot="1" x14ac:dyDescent="0.3">
      <c r="A96" s="21">
        <v>92</v>
      </c>
      <c r="B96" s="36"/>
      <c r="C96" s="18"/>
      <c r="D96" s="18" t="str">
        <f>IFERROR(_xlfn.XLOOKUP($C96,factPensjon[Virksomhetsnr.],factPensjon[Forpliktelser]),"")</f>
        <v/>
      </c>
      <c r="E96" s="27"/>
      <c r="F96" s="28" t="str">
        <f>IFERROR(IF(E96="A",'0. Oppsett'!$C$23,IF(E96="B",'0. Oppsett'!$C$24,IF(E96="C",'0. Oppsett'!$C$25,""))),"")</f>
        <v/>
      </c>
      <c r="G96" s="20">
        <f>SUMIFS(BasilRadata[8E. Oppgi antall årsverk barnehagen har pensjonsforpliktelser for:],'1. BASIL-rådata'!$I$3:$I$500,'X. Satser pensjonstilskudd'!$C96,BasilRadata[År],'0. Oppsett'!$C$8)</f>
        <v>0</v>
      </c>
      <c r="H96" s="29"/>
      <c r="I96" s="30" t="str">
        <f>IF(OR(E96="",H96="",NOT(AND(ISNUMBER(F96),ISNUMBER(H96)))),"",H96*F96*(1+'0. Oppsett'!$C$11))</f>
        <v/>
      </c>
    </row>
    <row r="97" spans="1:9" ht="15.75" thickBot="1" x14ac:dyDescent="0.3">
      <c r="A97" s="17">
        <v>93</v>
      </c>
      <c r="B97" s="36"/>
      <c r="C97" s="18"/>
      <c r="D97" s="18" t="str">
        <f>IFERROR(_xlfn.XLOOKUP($C97,factPensjon[Virksomhetsnr.],factPensjon[Forpliktelser]),"")</f>
        <v/>
      </c>
      <c r="E97" s="27"/>
      <c r="F97" s="28" t="str">
        <f>IFERROR(IF(E97="A",'0. Oppsett'!$C$23,IF(E97="B",'0. Oppsett'!$C$24,IF(E97="C",'0. Oppsett'!$C$25,""))),"")</f>
        <v/>
      </c>
      <c r="G97" s="20">
        <f>SUMIFS(BasilRadata[8E. Oppgi antall årsverk barnehagen har pensjonsforpliktelser for:],'1. BASIL-rådata'!$I$3:$I$500,'X. Satser pensjonstilskudd'!$C97,BasilRadata[År],'0. Oppsett'!$C$8)</f>
        <v>0</v>
      </c>
      <c r="H97" s="29"/>
      <c r="I97" s="30" t="str">
        <f>IF(OR(E97="",H97="",NOT(AND(ISNUMBER(F97),ISNUMBER(H97)))),"",H97*F97*(1+'0. Oppsett'!$C$11))</f>
        <v/>
      </c>
    </row>
    <row r="98" spans="1:9" ht="15.75" thickBot="1" x14ac:dyDescent="0.3">
      <c r="A98" s="21">
        <v>94</v>
      </c>
      <c r="B98" s="36"/>
      <c r="C98" s="18"/>
      <c r="D98" s="18" t="str">
        <f>IFERROR(_xlfn.XLOOKUP($C98,factPensjon[Virksomhetsnr.],factPensjon[Forpliktelser]),"")</f>
        <v/>
      </c>
      <c r="E98" s="27"/>
      <c r="F98" s="28" t="str">
        <f>IFERROR(IF(E98="A",'0. Oppsett'!$C$23,IF(E98="B",'0. Oppsett'!$C$24,IF(E98="C",'0. Oppsett'!$C$25,""))),"")</f>
        <v/>
      </c>
      <c r="G98" s="20">
        <f>SUMIFS(BasilRadata[8E. Oppgi antall årsverk barnehagen har pensjonsforpliktelser for:],'1. BASIL-rådata'!$I$3:$I$500,'X. Satser pensjonstilskudd'!$C98,BasilRadata[År],'0. Oppsett'!$C$8)</f>
        <v>0</v>
      </c>
      <c r="H98" s="29"/>
      <c r="I98" s="30" t="str">
        <f>IF(OR(E98="",H98="",NOT(AND(ISNUMBER(F98),ISNUMBER(H98)))),"",H98*F98*(1+'0. Oppsett'!$C$11))</f>
        <v/>
      </c>
    </row>
    <row r="99" spans="1:9" ht="15.75" thickBot="1" x14ac:dyDescent="0.3">
      <c r="A99" s="17">
        <v>95</v>
      </c>
      <c r="B99" s="36"/>
      <c r="C99" s="18"/>
      <c r="D99" s="18" t="str">
        <f>IFERROR(_xlfn.XLOOKUP($C99,factPensjon[Virksomhetsnr.],factPensjon[Forpliktelser]),"")</f>
        <v/>
      </c>
      <c r="E99" s="27"/>
      <c r="F99" s="28" t="str">
        <f>IFERROR(IF(E99="A",'0. Oppsett'!$C$23,IF(E99="B",'0. Oppsett'!$C$24,IF(E99="C",'0. Oppsett'!$C$25,""))),"")</f>
        <v/>
      </c>
      <c r="G99" s="20">
        <f>SUMIFS(BasilRadata[8E. Oppgi antall årsverk barnehagen har pensjonsforpliktelser for:],'1. BASIL-rådata'!$I$3:$I$500,'X. Satser pensjonstilskudd'!$C99,BasilRadata[År],'0. Oppsett'!$C$8)</f>
        <v>0</v>
      </c>
      <c r="H99" s="29"/>
      <c r="I99" s="30" t="str">
        <f>IF(OR(E99="",H99="",NOT(AND(ISNUMBER(F99),ISNUMBER(H99)))),"",H99*F99*(1+'0. Oppsett'!$C$11))</f>
        <v/>
      </c>
    </row>
    <row r="100" spans="1:9" ht="15.75" thickBot="1" x14ac:dyDescent="0.3">
      <c r="A100" s="21">
        <v>96</v>
      </c>
      <c r="B100" s="36"/>
      <c r="C100" s="18"/>
      <c r="D100" s="18" t="str">
        <f>IFERROR(_xlfn.XLOOKUP($C100,factPensjon[Virksomhetsnr.],factPensjon[Forpliktelser]),"")</f>
        <v/>
      </c>
      <c r="E100" s="27"/>
      <c r="F100" s="28" t="str">
        <f>IFERROR(IF(E100="A",'0. Oppsett'!$C$23,IF(E100="B",'0. Oppsett'!$C$24,IF(E100="C",'0. Oppsett'!$C$25,""))),"")</f>
        <v/>
      </c>
      <c r="G100" s="20">
        <f>SUMIFS(BasilRadata[8E. Oppgi antall årsverk barnehagen har pensjonsforpliktelser for:],'1. BASIL-rådata'!$I$3:$I$500,'X. Satser pensjonstilskudd'!$C100,BasilRadata[År],'0. Oppsett'!$C$8)</f>
        <v>0</v>
      </c>
      <c r="H100" s="29"/>
      <c r="I100" s="30" t="str">
        <f>IF(OR(E100="",H100="",NOT(AND(ISNUMBER(F100),ISNUMBER(H100)))),"",H100*F100*(1+'0. Oppsett'!$C$11))</f>
        <v/>
      </c>
    </row>
    <row r="101" spans="1:9" ht="15.75" thickBot="1" x14ac:dyDescent="0.3">
      <c r="A101" s="17">
        <v>97</v>
      </c>
      <c r="B101" s="36"/>
      <c r="C101" s="18"/>
      <c r="D101" s="18" t="str">
        <f>IFERROR(_xlfn.XLOOKUP($C101,factPensjon[Virksomhetsnr.],factPensjon[Forpliktelser]),"")</f>
        <v/>
      </c>
      <c r="E101" s="27"/>
      <c r="F101" s="28" t="str">
        <f>IFERROR(IF(E101="A",'0. Oppsett'!$C$23,IF(E101="B",'0. Oppsett'!$C$24,IF(E101="C",'0. Oppsett'!$C$25,""))),"")</f>
        <v/>
      </c>
      <c r="G101" s="20">
        <f>SUMIFS(BasilRadata[8E. Oppgi antall årsverk barnehagen har pensjonsforpliktelser for:],'1. BASIL-rådata'!$I$3:$I$500,'X. Satser pensjonstilskudd'!$C101,BasilRadata[År],'0. Oppsett'!$C$8)</f>
        <v>0</v>
      </c>
      <c r="H101" s="29"/>
      <c r="I101" s="30" t="str">
        <f>IF(OR(E101="",H101="",NOT(AND(ISNUMBER(F101),ISNUMBER(H101)))),"",H101*F101*(1+'0. Oppsett'!$C$11))</f>
        <v/>
      </c>
    </row>
    <row r="102" spans="1:9" ht="15.75" thickBot="1" x14ac:dyDescent="0.3">
      <c r="A102" s="21">
        <v>98</v>
      </c>
      <c r="B102" s="36"/>
      <c r="C102" s="18"/>
      <c r="D102" s="18" t="str">
        <f>IFERROR(_xlfn.XLOOKUP($C102,factPensjon[Virksomhetsnr.],factPensjon[Forpliktelser]),"")</f>
        <v/>
      </c>
      <c r="E102" s="27"/>
      <c r="F102" s="28" t="str">
        <f>IFERROR(IF(E102="A",'0. Oppsett'!$C$23,IF(E102="B",'0. Oppsett'!$C$24,IF(E102="C",'0. Oppsett'!$C$25,""))),"")</f>
        <v/>
      </c>
      <c r="G102" s="20">
        <f>SUMIFS(BasilRadata[8E. Oppgi antall årsverk barnehagen har pensjonsforpliktelser for:],'1. BASIL-rådata'!$I$3:$I$500,'X. Satser pensjonstilskudd'!$C102,BasilRadata[År],'0. Oppsett'!$C$8)</f>
        <v>0</v>
      </c>
      <c r="H102" s="29"/>
      <c r="I102" s="30" t="str">
        <f>IF(OR(E102="",H102="",NOT(AND(ISNUMBER(F102),ISNUMBER(H102)))),"",H102*F102*(1+'0. Oppsett'!$C$11))</f>
        <v/>
      </c>
    </row>
    <row r="103" spans="1:9" ht="15.75" thickBot="1" x14ac:dyDescent="0.3">
      <c r="A103" s="17">
        <v>99</v>
      </c>
      <c r="B103" s="36"/>
      <c r="C103" s="18"/>
      <c r="D103" s="18" t="str">
        <f>IFERROR(_xlfn.XLOOKUP($C103,factPensjon[Virksomhetsnr.],factPensjon[Forpliktelser]),"")</f>
        <v/>
      </c>
      <c r="E103" s="27"/>
      <c r="F103" s="28" t="str">
        <f>IFERROR(IF(E103="A",'0. Oppsett'!$C$23,IF(E103="B",'0. Oppsett'!$C$24,IF(E103="C",'0. Oppsett'!$C$25,""))),"")</f>
        <v/>
      </c>
      <c r="G103" s="20">
        <f>SUMIFS(BasilRadata[8E. Oppgi antall årsverk barnehagen har pensjonsforpliktelser for:],'1. BASIL-rådata'!$I$3:$I$500,'X. Satser pensjonstilskudd'!$C103,BasilRadata[År],'0. Oppsett'!$C$8)</f>
        <v>0</v>
      </c>
      <c r="H103" s="29"/>
      <c r="I103" s="30" t="str">
        <f>IF(OR(E103="",H103="",NOT(AND(ISNUMBER(F103),ISNUMBER(H103)))),"",H103*F103*(1+'0. Oppsett'!$C$11))</f>
        <v/>
      </c>
    </row>
    <row r="104" spans="1:9" ht="15.75" thickBot="1" x14ac:dyDescent="0.3">
      <c r="A104" s="21">
        <v>100</v>
      </c>
      <c r="B104" s="36"/>
      <c r="C104" s="18"/>
      <c r="D104" s="18" t="str">
        <f>IFERROR(_xlfn.XLOOKUP($C104,factPensjon[Virksomhetsnr.],factPensjon[Forpliktelser]),"")</f>
        <v/>
      </c>
      <c r="E104" s="27"/>
      <c r="F104" s="28" t="str">
        <f>IFERROR(IF(E104="A",'0. Oppsett'!$C$23,IF(E104="B",'0. Oppsett'!$C$24,IF(E104="C",'0. Oppsett'!$C$25,""))),"")</f>
        <v/>
      </c>
      <c r="G104" s="20">
        <f>SUMIFS(BasilRadata[8E. Oppgi antall årsverk barnehagen har pensjonsforpliktelser for:],'1. BASIL-rådata'!$I$3:$I$500,'X. Satser pensjonstilskudd'!$C104,BasilRadata[År],'0. Oppsett'!$C$8)</f>
        <v>0</v>
      </c>
      <c r="H104" s="29"/>
      <c r="I104" s="30" t="str">
        <f>IF(OR(E104="",H104="",NOT(AND(ISNUMBER(F104),ISNUMBER(H104)))),"",H104*F104*(1+'0. Oppsett'!$C$11))</f>
        <v/>
      </c>
    </row>
    <row r="105" spans="1:9" ht="15.75" thickBot="1" x14ac:dyDescent="0.3">
      <c r="A105" s="17">
        <v>101</v>
      </c>
      <c r="B105" s="36"/>
      <c r="C105" s="18"/>
      <c r="D105" s="18" t="str">
        <f>IFERROR(_xlfn.XLOOKUP($C105,factPensjon[Virksomhetsnr.],factPensjon[Forpliktelser]),"")</f>
        <v/>
      </c>
      <c r="E105" s="27"/>
      <c r="F105" s="28" t="str">
        <f>IFERROR(IF(E105="A",'0. Oppsett'!$C$23,IF(E105="B",'0. Oppsett'!$C$24,IF(E105="C",'0. Oppsett'!$C$25,""))),"")</f>
        <v/>
      </c>
      <c r="G105" s="20">
        <f>SUMIFS(BasilRadata[8E. Oppgi antall årsverk barnehagen har pensjonsforpliktelser for:],'1. BASIL-rådata'!$I$3:$I$500,'X. Satser pensjonstilskudd'!$C105,BasilRadata[År],'0. Oppsett'!$C$8)</f>
        <v>0</v>
      </c>
      <c r="H105" s="29"/>
      <c r="I105" s="30" t="str">
        <f>IF(OR(E105="",H105="",NOT(AND(ISNUMBER(F105),ISNUMBER(H105)))),"",H105*F105*(1+'0. Oppsett'!$C$11))</f>
        <v/>
      </c>
    </row>
    <row r="106" spans="1:9" ht="15.75" thickBot="1" x14ac:dyDescent="0.3">
      <c r="A106" s="21">
        <v>102</v>
      </c>
      <c r="B106" s="36"/>
      <c r="C106" s="18"/>
      <c r="D106" s="18" t="str">
        <f>IFERROR(_xlfn.XLOOKUP($C106,factPensjon[Virksomhetsnr.],factPensjon[Forpliktelser]),"")</f>
        <v/>
      </c>
      <c r="E106" s="27"/>
      <c r="F106" s="28" t="str">
        <f>IFERROR(IF(E106="A",'0. Oppsett'!$C$23,IF(E106="B",'0. Oppsett'!$C$24,IF(E106="C",'0. Oppsett'!$C$25,""))),"")</f>
        <v/>
      </c>
      <c r="G106" s="20">
        <f>SUMIFS(BasilRadata[8E. Oppgi antall årsverk barnehagen har pensjonsforpliktelser for:],'1. BASIL-rådata'!$I$3:$I$500,'X. Satser pensjonstilskudd'!$C106,BasilRadata[År],'0. Oppsett'!$C$8)</f>
        <v>0</v>
      </c>
      <c r="H106" s="29"/>
      <c r="I106" s="30" t="str">
        <f>IF(OR(E106="",H106="",NOT(AND(ISNUMBER(F106),ISNUMBER(H106)))),"",H106*F106*(1+'0. Oppsett'!$C$11))</f>
        <v/>
      </c>
    </row>
    <row r="107" spans="1:9" ht="15.75" thickBot="1" x14ac:dyDescent="0.3">
      <c r="A107" s="17">
        <v>103</v>
      </c>
      <c r="B107" s="36"/>
      <c r="C107" s="18"/>
      <c r="D107" s="18" t="str">
        <f>IFERROR(_xlfn.XLOOKUP($C107,factPensjon[Virksomhetsnr.],factPensjon[Forpliktelser]),"")</f>
        <v/>
      </c>
      <c r="E107" s="27"/>
      <c r="F107" s="28" t="str">
        <f>IFERROR(IF(E107="A",'0. Oppsett'!$C$23,IF(E107="B",'0. Oppsett'!$C$24,IF(E107="C",'0. Oppsett'!$C$25,""))),"")</f>
        <v/>
      </c>
      <c r="G107" s="20">
        <f>SUMIFS(BasilRadata[8E. Oppgi antall årsverk barnehagen har pensjonsforpliktelser for:],'1. BASIL-rådata'!$I$3:$I$500,'X. Satser pensjonstilskudd'!$C107,BasilRadata[År],'0. Oppsett'!$C$8)</f>
        <v>0</v>
      </c>
      <c r="H107" s="29"/>
      <c r="I107" s="30" t="str">
        <f>IF(OR(E107="",H107="",NOT(AND(ISNUMBER(F107),ISNUMBER(H107)))),"",H107*F107*(1+'0. Oppsett'!$C$11))</f>
        <v/>
      </c>
    </row>
    <row r="108" spans="1:9" ht="15.75" thickBot="1" x14ac:dyDescent="0.3">
      <c r="A108" s="21">
        <v>104</v>
      </c>
      <c r="B108" s="36"/>
      <c r="C108" s="18"/>
      <c r="D108" s="18" t="str">
        <f>IFERROR(_xlfn.XLOOKUP($C108,factPensjon[Virksomhetsnr.],factPensjon[Forpliktelser]),"")</f>
        <v/>
      </c>
      <c r="E108" s="27"/>
      <c r="F108" s="28" t="str">
        <f>IFERROR(IF(E108="A",'0. Oppsett'!$C$23,IF(E108="B",'0. Oppsett'!$C$24,IF(E108="C",'0. Oppsett'!$C$25,""))),"")</f>
        <v/>
      </c>
      <c r="G108" s="20">
        <f>SUMIFS(BasilRadata[8E. Oppgi antall årsverk barnehagen har pensjonsforpliktelser for:],'1. BASIL-rådata'!$I$3:$I$500,'X. Satser pensjonstilskudd'!$C108,BasilRadata[År],'0. Oppsett'!$C$8)</f>
        <v>0</v>
      </c>
      <c r="H108" s="29"/>
      <c r="I108" s="30" t="str">
        <f>IF(OR(E108="",H108="",NOT(AND(ISNUMBER(F108),ISNUMBER(H108)))),"",H108*F108*(1+'0. Oppsett'!$C$11))</f>
        <v/>
      </c>
    </row>
    <row r="109" spans="1:9" ht="15.75" thickBot="1" x14ac:dyDescent="0.3">
      <c r="A109" s="17">
        <v>105</v>
      </c>
      <c r="B109" s="36"/>
      <c r="C109" s="18"/>
      <c r="D109" s="18" t="str">
        <f>IFERROR(_xlfn.XLOOKUP($C109,factPensjon[Virksomhetsnr.],factPensjon[Forpliktelser]),"")</f>
        <v/>
      </c>
      <c r="E109" s="27"/>
      <c r="F109" s="28" t="str">
        <f>IFERROR(IF(E109="A",'0. Oppsett'!$C$23,IF(E109="B",'0. Oppsett'!$C$24,IF(E109="C",'0. Oppsett'!$C$25,""))),"")</f>
        <v/>
      </c>
      <c r="G109" s="20">
        <f>SUMIFS(BasilRadata[8E. Oppgi antall årsverk barnehagen har pensjonsforpliktelser for:],'1. BASIL-rådata'!$I$3:$I$500,'X. Satser pensjonstilskudd'!$C109,BasilRadata[År],'0. Oppsett'!$C$8)</f>
        <v>0</v>
      </c>
      <c r="H109" s="29"/>
      <c r="I109" s="30" t="str">
        <f>IF(OR(E109="",H109="",NOT(AND(ISNUMBER(F109),ISNUMBER(H109)))),"",H109*F109*(1+'0. Oppsett'!$C$11))</f>
        <v/>
      </c>
    </row>
    <row r="110" spans="1:9" ht="15.75" thickBot="1" x14ac:dyDescent="0.3">
      <c r="A110" s="21">
        <v>106</v>
      </c>
      <c r="B110" s="36"/>
      <c r="C110" s="18"/>
      <c r="D110" s="18" t="str">
        <f>IFERROR(_xlfn.XLOOKUP($C110,factPensjon[Virksomhetsnr.],factPensjon[Forpliktelser]),"")</f>
        <v/>
      </c>
      <c r="E110" s="27"/>
      <c r="F110" s="28" t="str">
        <f>IFERROR(IF(E110="A",'0. Oppsett'!$C$23,IF(E110="B",'0. Oppsett'!$C$24,IF(E110="C",'0. Oppsett'!$C$25,""))),"")</f>
        <v/>
      </c>
      <c r="G110" s="20">
        <f>SUMIFS(BasilRadata[8E. Oppgi antall årsverk barnehagen har pensjonsforpliktelser for:],'1. BASIL-rådata'!$I$3:$I$500,'X. Satser pensjonstilskudd'!$C110,BasilRadata[År],'0. Oppsett'!$C$8)</f>
        <v>0</v>
      </c>
      <c r="H110" s="29"/>
      <c r="I110" s="30" t="str">
        <f>IF(OR(E110="",H110="",NOT(AND(ISNUMBER(F110),ISNUMBER(H110)))),"",H110*F110*(1+'0. Oppsett'!$C$11))</f>
        <v/>
      </c>
    </row>
    <row r="111" spans="1:9" ht="15.75" thickBot="1" x14ac:dyDescent="0.3">
      <c r="A111" s="17">
        <v>107</v>
      </c>
      <c r="B111" s="36"/>
      <c r="C111" s="18"/>
      <c r="D111" s="18" t="str">
        <f>IFERROR(_xlfn.XLOOKUP($C111,factPensjon[Virksomhetsnr.],factPensjon[Forpliktelser]),"")</f>
        <v/>
      </c>
      <c r="E111" s="27"/>
      <c r="F111" s="28" t="str">
        <f>IFERROR(IF(E111="A",'0. Oppsett'!$C$23,IF(E111="B",'0. Oppsett'!$C$24,IF(E111="C",'0. Oppsett'!$C$25,""))),"")</f>
        <v/>
      </c>
      <c r="G111" s="20">
        <f>SUMIFS(BasilRadata[8E. Oppgi antall årsverk barnehagen har pensjonsforpliktelser for:],'1. BASIL-rådata'!$I$3:$I$500,'X. Satser pensjonstilskudd'!$C111,BasilRadata[År],'0. Oppsett'!$C$8)</f>
        <v>0</v>
      </c>
      <c r="H111" s="29"/>
      <c r="I111" s="30" t="str">
        <f>IF(OR(E111="",H111="",NOT(AND(ISNUMBER(F111),ISNUMBER(H111)))),"",H111*F111*(1+'0. Oppsett'!$C$11))</f>
        <v/>
      </c>
    </row>
    <row r="112" spans="1:9" ht="15.75" thickBot="1" x14ac:dyDescent="0.3">
      <c r="A112" s="21">
        <v>108</v>
      </c>
      <c r="B112" s="36"/>
      <c r="C112" s="18"/>
      <c r="D112" s="18" t="str">
        <f>IFERROR(_xlfn.XLOOKUP($C112,factPensjon[Virksomhetsnr.],factPensjon[Forpliktelser]),"")</f>
        <v/>
      </c>
      <c r="E112" s="27"/>
      <c r="F112" s="28" t="str">
        <f>IFERROR(IF(E112="A",'0. Oppsett'!$C$23,IF(E112="B",'0. Oppsett'!$C$24,IF(E112="C",'0. Oppsett'!$C$25,""))),"")</f>
        <v/>
      </c>
      <c r="G112" s="20">
        <f>SUMIFS(BasilRadata[8E. Oppgi antall årsverk barnehagen har pensjonsforpliktelser for:],'1. BASIL-rådata'!$I$3:$I$500,'X. Satser pensjonstilskudd'!$C112,BasilRadata[År],'0. Oppsett'!$C$8)</f>
        <v>0</v>
      </c>
      <c r="H112" s="29"/>
      <c r="I112" s="30" t="str">
        <f>IF(OR(E112="",H112="",NOT(AND(ISNUMBER(F112),ISNUMBER(H112)))),"",H112*F112*(1+'0. Oppsett'!$C$11))</f>
        <v/>
      </c>
    </row>
    <row r="113" spans="1:9" ht="15.75" thickBot="1" x14ac:dyDescent="0.3">
      <c r="A113" s="17">
        <v>109</v>
      </c>
      <c r="B113" s="36"/>
      <c r="C113" s="18"/>
      <c r="D113" s="18" t="str">
        <f>IFERROR(_xlfn.XLOOKUP($C113,factPensjon[Virksomhetsnr.],factPensjon[Forpliktelser]),"")</f>
        <v/>
      </c>
      <c r="E113" s="27"/>
      <c r="F113" s="28" t="str">
        <f>IFERROR(IF(E113="A",'0. Oppsett'!$C$23,IF(E113="B",'0. Oppsett'!$C$24,IF(E113="C",'0. Oppsett'!$C$25,""))),"")</f>
        <v/>
      </c>
      <c r="G113" s="20">
        <f>SUMIFS(BasilRadata[8E. Oppgi antall årsverk barnehagen har pensjonsforpliktelser for:],'1. BASIL-rådata'!$I$3:$I$500,'X. Satser pensjonstilskudd'!$C113,BasilRadata[År],'0. Oppsett'!$C$8)</f>
        <v>0</v>
      </c>
      <c r="H113" s="29"/>
      <c r="I113" s="30" t="str">
        <f>IF(OR(E113="",H113="",NOT(AND(ISNUMBER(F113),ISNUMBER(H113)))),"",H113*F113*(1+'0. Oppsett'!$C$11))</f>
        <v/>
      </c>
    </row>
    <row r="114" spans="1:9" ht="15.75" thickBot="1" x14ac:dyDescent="0.3">
      <c r="A114" s="21">
        <v>110</v>
      </c>
      <c r="B114" s="36"/>
      <c r="C114" s="18"/>
      <c r="D114" s="18" t="str">
        <f>IFERROR(_xlfn.XLOOKUP($C114,factPensjon[Virksomhetsnr.],factPensjon[Forpliktelser]),"")</f>
        <v/>
      </c>
      <c r="E114" s="27"/>
      <c r="F114" s="28" t="str">
        <f>IFERROR(IF(E114="A",'0. Oppsett'!$C$23,IF(E114="B",'0. Oppsett'!$C$24,IF(E114="C",'0. Oppsett'!$C$25,""))),"")</f>
        <v/>
      </c>
      <c r="G114" s="20">
        <f>SUMIFS(BasilRadata[8E. Oppgi antall årsverk barnehagen har pensjonsforpliktelser for:],'1. BASIL-rådata'!$I$3:$I$500,'X. Satser pensjonstilskudd'!$C114,BasilRadata[År],'0. Oppsett'!$C$8)</f>
        <v>0</v>
      </c>
      <c r="H114" s="29"/>
      <c r="I114" s="30" t="str">
        <f>IF(OR(E114="",H114="",NOT(AND(ISNUMBER(F114),ISNUMBER(H114)))),"",H114*F114*(1+'0. Oppsett'!$C$11))</f>
        <v/>
      </c>
    </row>
    <row r="115" spans="1:9" ht="15.75" thickBot="1" x14ac:dyDescent="0.3">
      <c r="A115" s="17">
        <v>111</v>
      </c>
      <c r="B115" s="36"/>
      <c r="C115" s="18"/>
      <c r="D115" s="18" t="str">
        <f>IFERROR(_xlfn.XLOOKUP($C115,factPensjon[Virksomhetsnr.],factPensjon[Forpliktelser]),"")</f>
        <v/>
      </c>
      <c r="E115" s="27"/>
      <c r="F115" s="28" t="str">
        <f>IFERROR(IF(E115="A",'0. Oppsett'!$C$23,IF(E115="B",'0. Oppsett'!$C$24,IF(E115="C",'0. Oppsett'!$C$25,""))),"")</f>
        <v/>
      </c>
      <c r="G115" s="20">
        <f>SUMIFS(BasilRadata[8E. Oppgi antall årsverk barnehagen har pensjonsforpliktelser for:],'1. BASIL-rådata'!$I$3:$I$500,'X. Satser pensjonstilskudd'!$C115,BasilRadata[År],'0. Oppsett'!$C$8)</f>
        <v>0</v>
      </c>
      <c r="H115" s="29"/>
      <c r="I115" s="30" t="str">
        <f>IF(OR(E115="",H115="",NOT(AND(ISNUMBER(F115),ISNUMBER(H115)))),"",H115*F115*(1+'0. Oppsett'!$C$11))</f>
        <v/>
      </c>
    </row>
    <row r="116" spans="1:9" ht="15.75" thickBot="1" x14ac:dyDescent="0.3">
      <c r="A116" s="21">
        <v>112</v>
      </c>
      <c r="B116" s="36"/>
      <c r="C116" s="18"/>
      <c r="D116" s="18" t="str">
        <f>IFERROR(_xlfn.XLOOKUP($C116,factPensjon[Virksomhetsnr.],factPensjon[Forpliktelser]),"")</f>
        <v/>
      </c>
      <c r="E116" s="27"/>
      <c r="F116" s="28" t="str">
        <f>IFERROR(IF(E116="A",'0. Oppsett'!$C$23,IF(E116="B",'0. Oppsett'!$C$24,IF(E116="C",'0. Oppsett'!$C$25,""))),"")</f>
        <v/>
      </c>
      <c r="G116" s="20">
        <f>SUMIFS(BasilRadata[8E. Oppgi antall årsverk barnehagen har pensjonsforpliktelser for:],'1. BASIL-rådata'!$I$3:$I$500,'X. Satser pensjonstilskudd'!$C116,BasilRadata[År],'0. Oppsett'!$C$8)</f>
        <v>0</v>
      </c>
      <c r="H116" s="29"/>
      <c r="I116" s="30" t="str">
        <f>IF(OR(E116="",H116="",NOT(AND(ISNUMBER(F116),ISNUMBER(H116)))),"",H116*F116*(1+'0. Oppsett'!$C$11))</f>
        <v/>
      </c>
    </row>
    <row r="117" spans="1:9" ht="15.75" thickBot="1" x14ac:dyDescent="0.3">
      <c r="A117" s="17">
        <v>113</v>
      </c>
      <c r="B117" s="36"/>
      <c r="C117" s="18"/>
      <c r="D117" s="18" t="str">
        <f>IFERROR(_xlfn.XLOOKUP($C117,factPensjon[Virksomhetsnr.],factPensjon[Forpliktelser]),"")</f>
        <v/>
      </c>
      <c r="E117" s="27"/>
      <c r="F117" s="28" t="str">
        <f>IFERROR(IF(E117="A",'0. Oppsett'!$C$23,IF(E117="B",'0. Oppsett'!$C$24,IF(E117="C",'0. Oppsett'!$C$25,""))),"")</f>
        <v/>
      </c>
      <c r="G117" s="20">
        <f>SUMIFS(BasilRadata[8E. Oppgi antall årsverk barnehagen har pensjonsforpliktelser for:],'1. BASIL-rådata'!$I$3:$I$500,'X. Satser pensjonstilskudd'!$C117,BasilRadata[År],'0. Oppsett'!$C$8)</f>
        <v>0</v>
      </c>
      <c r="H117" s="29"/>
      <c r="I117" s="30" t="str">
        <f>IF(OR(E117="",H117="",NOT(AND(ISNUMBER(F117),ISNUMBER(H117)))),"",H117*F117*(1+'0. Oppsett'!$C$11))</f>
        <v/>
      </c>
    </row>
    <row r="118" spans="1:9" ht="15.75" thickBot="1" x14ac:dyDescent="0.3">
      <c r="A118" s="21">
        <v>114</v>
      </c>
      <c r="B118" s="36"/>
      <c r="C118" s="18"/>
      <c r="D118" s="18" t="str">
        <f>IFERROR(_xlfn.XLOOKUP($C118,factPensjon[Virksomhetsnr.],factPensjon[Forpliktelser]),"")</f>
        <v/>
      </c>
      <c r="E118" s="27"/>
      <c r="F118" s="28" t="str">
        <f>IFERROR(IF(E118="A",'0. Oppsett'!$C$23,IF(E118="B",'0. Oppsett'!$C$24,IF(E118="C",'0. Oppsett'!$C$25,""))),"")</f>
        <v/>
      </c>
      <c r="G118" s="20">
        <f>SUMIFS(BasilRadata[8E. Oppgi antall årsverk barnehagen har pensjonsforpliktelser for:],'1. BASIL-rådata'!$I$3:$I$500,'X. Satser pensjonstilskudd'!$C118,BasilRadata[År],'0. Oppsett'!$C$8)</f>
        <v>0</v>
      </c>
      <c r="H118" s="29"/>
      <c r="I118" s="30" t="str">
        <f>IF(OR(E118="",H118="",NOT(AND(ISNUMBER(F118),ISNUMBER(H118)))),"",H118*F118*(1+'0. Oppsett'!$C$11))</f>
        <v/>
      </c>
    </row>
    <row r="119" spans="1:9" ht="15.75" thickBot="1" x14ac:dyDescent="0.3">
      <c r="A119" s="17">
        <v>115</v>
      </c>
      <c r="B119" s="36"/>
      <c r="C119" s="18"/>
      <c r="D119" s="18" t="str">
        <f>IFERROR(_xlfn.XLOOKUP($C119,factPensjon[Virksomhetsnr.],factPensjon[Forpliktelser]),"")</f>
        <v/>
      </c>
      <c r="E119" s="27"/>
      <c r="F119" s="28" t="str">
        <f>IFERROR(IF(E119="A",'0. Oppsett'!$C$23,IF(E119="B",'0. Oppsett'!$C$24,IF(E119="C",'0. Oppsett'!$C$25,""))),"")</f>
        <v/>
      </c>
      <c r="G119" s="20">
        <f>SUMIFS(BasilRadata[8E. Oppgi antall årsverk barnehagen har pensjonsforpliktelser for:],'1. BASIL-rådata'!$I$3:$I$500,'X. Satser pensjonstilskudd'!$C119,BasilRadata[År],'0. Oppsett'!$C$8)</f>
        <v>0</v>
      </c>
      <c r="H119" s="29"/>
      <c r="I119" s="30" t="str">
        <f>IF(OR(E119="",H119="",NOT(AND(ISNUMBER(F119),ISNUMBER(H119)))),"",H119*F119*(1+'0. Oppsett'!$C$11))</f>
        <v/>
      </c>
    </row>
    <row r="120" spans="1:9" ht="15.75" thickBot="1" x14ac:dyDescent="0.3">
      <c r="A120" s="21">
        <v>116</v>
      </c>
      <c r="B120" s="36"/>
      <c r="C120" s="18"/>
      <c r="D120" s="18" t="str">
        <f>IFERROR(_xlfn.XLOOKUP($C120,factPensjon[Virksomhetsnr.],factPensjon[Forpliktelser]),"")</f>
        <v/>
      </c>
      <c r="E120" s="27"/>
      <c r="F120" s="28" t="str">
        <f>IFERROR(IF(E120="A",'0. Oppsett'!$C$23,IF(E120="B",'0. Oppsett'!$C$24,IF(E120="C",'0. Oppsett'!$C$25,""))),"")</f>
        <v/>
      </c>
      <c r="G120" s="20">
        <f>SUMIFS(BasilRadata[8E. Oppgi antall årsverk barnehagen har pensjonsforpliktelser for:],'1. BASIL-rådata'!$I$3:$I$500,'X. Satser pensjonstilskudd'!$C120,BasilRadata[År],'0. Oppsett'!$C$8)</f>
        <v>0</v>
      </c>
      <c r="H120" s="29"/>
      <c r="I120" s="30" t="str">
        <f>IF(OR(E120="",H120="",NOT(AND(ISNUMBER(F120),ISNUMBER(H120)))),"",H120*F120*(1+'0. Oppsett'!$C$11))</f>
        <v/>
      </c>
    </row>
    <row r="121" spans="1:9" ht="15.75" thickBot="1" x14ac:dyDescent="0.3">
      <c r="A121" s="17">
        <v>117</v>
      </c>
      <c r="B121" s="36"/>
      <c r="C121" s="18"/>
      <c r="D121" s="18" t="str">
        <f>IFERROR(_xlfn.XLOOKUP($C121,factPensjon[Virksomhetsnr.],factPensjon[Forpliktelser]),"")</f>
        <v/>
      </c>
      <c r="E121" s="27"/>
      <c r="F121" s="28" t="str">
        <f>IFERROR(IF(E121="A",'0. Oppsett'!$C$23,IF(E121="B",'0. Oppsett'!$C$24,IF(E121="C",'0. Oppsett'!$C$25,""))),"")</f>
        <v/>
      </c>
      <c r="G121" s="20">
        <f>SUMIFS(BasilRadata[8E. Oppgi antall årsverk barnehagen har pensjonsforpliktelser for:],'1. BASIL-rådata'!$I$3:$I$500,'X. Satser pensjonstilskudd'!$C121,BasilRadata[År],'0. Oppsett'!$C$8)</f>
        <v>0</v>
      </c>
      <c r="H121" s="29"/>
      <c r="I121" s="30" t="str">
        <f>IF(OR(E121="",H121="",NOT(AND(ISNUMBER(F121),ISNUMBER(H121)))),"",H121*F121*(1+'0. Oppsett'!$C$11))</f>
        <v/>
      </c>
    </row>
    <row r="122" spans="1:9" ht="15.75" thickBot="1" x14ac:dyDescent="0.3">
      <c r="A122" s="21">
        <v>118</v>
      </c>
      <c r="B122" s="36"/>
      <c r="C122" s="18"/>
      <c r="D122" s="18" t="str">
        <f>IFERROR(_xlfn.XLOOKUP($C122,factPensjon[Virksomhetsnr.],factPensjon[Forpliktelser]),"")</f>
        <v/>
      </c>
      <c r="E122" s="27"/>
      <c r="F122" s="28" t="str">
        <f>IFERROR(IF(E122="A",'0. Oppsett'!$C$23,IF(E122="B",'0. Oppsett'!$C$24,IF(E122="C",'0. Oppsett'!$C$25,""))),"")</f>
        <v/>
      </c>
      <c r="G122" s="20">
        <f>SUMIFS(BasilRadata[8E. Oppgi antall årsverk barnehagen har pensjonsforpliktelser for:],'1. BASIL-rådata'!$I$3:$I$500,'X. Satser pensjonstilskudd'!$C122,BasilRadata[År],'0. Oppsett'!$C$8)</f>
        <v>0</v>
      </c>
      <c r="H122" s="29"/>
      <c r="I122" s="30" t="str">
        <f>IF(OR(E122="",H122="",NOT(AND(ISNUMBER(F122),ISNUMBER(H122)))),"",H122*F122*(1+'0. Oppsett'!$C$11))</f>
        <v/>
      </c>
    </row>
    <row r="123" spans="1:9" ht="15.75" thickBot="1" x14ac:dyDescent="0.3">
      <c r="A123" s="17">
        <v>119</v>
      </c>
      <c r="B123" s="36"/>
      <c r="C123" s="18"/>
      <c r="D123" s="18" t="str">
        <f>IFERROR(_xlfn.XLOOKUP($C123,factPensjon[Virksomhetsnr.],factPensjon[Forpliktelser]),"")</f>
        <v/>
      </c>
      <c r="E123" s="27"/>
      <c r="F123" s="28" t="str">
        <f>IFERROR(IF(E123="A",'0. Oppsett'!$C$23,IF(E123="B",'0. Oppsett'!$C$24,IF(E123="C",'0. Oppsett'!$C$25,""))),"")</f>
        <v/>
      </c>
      <c r="G123" s="20">
        <f>SUMIFS(BasilRadata[8E. Oppgi antall årsverk barnehagen har pensjonsforpliktelser for:],'1. BASIL-rådata'!$I$3:$I$500,'X. Satser pensjonstilskudd'!$C123,BasilRadata[År],'0. Oppsett'!$C$8)</f>
        <v>0</v>
      </c>
      <c r="H123" s="29"/>
      <c r="I123" s="30" t="str">
        <f>IF(OR(E123="",H123="",NOT(AND(ISNUMBER(F123),ISNUMBER(H123)))),"",H123*F123*(1+'0. Oppsett'!$C$11))</f>
        <v/>
      </c>
    </row>
    <row r="124" spans="1:9" ht="15.75" thickBot="1" x14ac:dyDescent="0.3">
      <c r="A124" s="21">
        <v>120</v>
      </c>
      <c r="B124" s="36"/>
      <c r="C124" s="18"/>
      <c r="D124" s="18" t="str">
        <f>IFERROR(_xlfn.XLOOKUP($C124,factPensjon[Virksomhetsnr.],factPensjon[Forpliktelser]),"")</f>
        <v/>
      </c>
      <c r="E124" s="27"/>
      <c r="F124" s="28" t="str">
        <f>IFERROR(IF(E124="A",'0. Oppsett'!$C$23,IF(E124="B",'0. Oppsett'!$C$24,IF(E124="C",'0. Oppsett'!$C$25,""))),"")</f>
        <v/>
      </c>
      <c r="G124" s="20">
        <f>SUMIFS(BasilRadata[8E. Oppgi antall årsverk barnehagen har pensjonsforpliktelser for:],'1. BASIL-rådata'!$I$3:$I$500,'X. Satser pensjonstilskudd'!$C124,BasilRadata[År],'0. Oppsett'!$C$8)</f>
        <v>0</v>
      </c>
      <c r="H124" s="29"/>
      <c r="I124" s="30" t="str">
        <f>IF(OR(E124="",H124="",NOT(AND(ISNUMBER(F124),ISNUMBER(H124)))),"",H124*F124*(1+'0. Oppsett'!$C$11))</f>
        <v/>
      </c>
    </row>
    <row r="125" spans="1:9" ht="15.75" thickBot="1" x14ac:dyDescent="0.3">
      <c r="A125" s="17">
        <v>121</v>
      </c>
      <c r="B125" s="36"/>
      <c r="C125" s="18"/>
      <c r="D125" s="18" t="str">
        <f>IFERROR(_xlfn.XLOOKUP($C125,factPensjon[Virksomhetsnr.],factPensjon[Forpliktelser]),"")</f>
        <v/>
      </c>
      <c r="E125" s="27"/>
      <c r="F125" s="28" t="str">
        <f>IFERROR(IF(E125="A",'0. Oppsett'!$C$23,IF(E125="B",'0. Oppsett'!$C$24,IF(E125="C",'0. Oppsett'!$C$25,""))),"")</f>
        <v/>
      </c>
      <c r="G125" s="20">
        <f>SUMIFS(BasilRadata[8E. Oppgi antall årsverk barnehagen har pensjonsforpliktelser for:],'1. BASIL-rådata'!$I$3:$I$500,'X. Satser pensjonstilskudd'!$C125,BasilRadata[År],'0. Oppsett'!$C$8)</f>
        <v>0</v>
      </c>
      <c r="H125" s="29"/>
      <c r="I125" s="30" t="str">
        <f>IF(OR(E125="",H125="",NOT(AND(ISNUMBER(F125),ISNUMBER(H125)))),"",H125*F125*(1+'0. Oppsett'!$C$11))</f>
        <v/>
      </c>
    </row>
    <row r="126" spans="1:9" ht="15.75" thickBot="1" x14ac:dyDescent="0.3">
      <c r="A126" s="21">
        <v>122</v>
      </c>
      <c r="B126" s="36"/>
      <c r="C126" s="18"/>
      <c r="D126" s="18" t="str">
        <f>IFERROR(_xlfn.XLOOKUP($C126,factPensjon[Virksomhetsnr.],factPensjon[Forpliktelser]),"")</f>
        <v/>
      </c>
      <c r="E126" s="27"/>
      <c r="F126" s="28" t="str">
        <f>IFERROR(IF(E126="A",'0. Oppsett'!$C$23,IF(E126="B",'0. Oppsett'!$C$24,IF(E126="C",'0. Oppsett'!$C$25,""))),"")</f>
        <v/>
      </c>
      <c r="G126" s="20">
        <f>SUMIFS(BasilRadata[8E. Oppgi antall årsverk barnehagen har pensjonsforpliktelser for:],'1. BASIL-rådata'!$I$3:$I$500,'X. Satser pensjonstilskudd'!$C126,BasilRadata[År],'0. Oppsett'!$C$8)</f>
        <v>0</v>
      </c>
      <c r="H126" s="29"/>
      <c r="I126" s="30" t="str">
        <f>IF(OR(E126="",H126="",NOT(AND(ISNUMBER(F126),ISNUMBER(H126)))),"",H126*F126*(1+'0. Oppsett'!$C$11))</f>
        <v/>
      </c>
    </row>
    <row r="127" spans="1:9" ht="15.75" thickBot="1" x14ac:dyDescent="0.3">
      <c r="A127" s="17">
        <v>123</v>
      </c>
      <c r="B127" s="36"/>
      <c r="C127" s="18"/>
      <c r="D127" s="18" t="str">
        <f>IFERROR(_xlfn.XLOOKUP($C127,factPensjon[Virksomhetsnr.],factPensjon[Forpliktelser]),"")</f>
        <v/>
      </c>
      <c r="E127" s="27"/>
      <c r="F127" s="28" t="str">
        <f>IFERROR(IF(E127="A",'0. Oppsett'!$C$23,IF(E127="B",'0. Oppsett'!$C$24,IF(E127="C",'0. Oppsett'!$C$25,""))),"")</f>
        <v/>
      </c>
      <c r="G127" s="20">
        <f>SUMIFS(BasilRadata[8E. Oppgi antall årsverk barnehagen har pensjonsforpliktelser for:],'1. BASIL-rådata'!$I$3:$I$500,'X. Satser pensjonstilskudd'!$C127,BasilRadata[År],'0. Oppsett'!$C$8)</f>
        <v>0</v>
      </c>
      <c r="H127" s="29"/>
      <c r="I127" s="30" t="str">
        <f>IF(OR(E127="",H127="",NOT(AND(ISNUMBER(F127),ISNUMBER(H127)))),"",H127*F127*(1+'0. Oppsett'!$C$11))</f>
        <v/>
      </c>
    </row>
    <row r="128" spans="1:9" ht="15.75" thickBot="1" x14ac:dyDescent="0.3">
      <c r="A128" s="21">
        <v>124</v>
      </c>
      <c r="B128" s="36"/>
      <c r="C128" s="18"/>
      <c r="D128" s="18" t="str">
        <f>IFERROR(_xlfn.XLOOKUP($C128,factPensjon[Virksomhetsnr.],factPensjon[Forpliktelser]),"")</f>
        <v/>
      </c>
      <c r="E128" s="27"/>
      <c r="F128" s="28" t="str">
        <f>IFERROR(IF(E128="A",'0. Oppsett'!$C$23,IF(E128="B",'0. Oppsett'!$C$24,IF(E128="C",'0. Oppsett'!$C$25,""))),"")</f>
        <v/>
      </c>
      <c r="G128" s="20">
        <f>SUMIFS(BasilRadata[8E. Oppgi antall årsverk barnehagen har pensjonsforpliktelser for:],'1. BASIL-rådata'!$I$3:$I$500,'X. Satser pensjonstilskudd'!$C128,BasilRadata[År],'0. Oppsett'!$C$8)</f>
        <v>0</v>
      </c>
      <c r="H128" s="29"/>
      <c r="I128" s="30" t="str">
        <f>IF(OR(E128="",H128="",NOT(AND(ISNUMBER(F128),ISNUMBER(H128)))),"",H128*F128*(1+'0. Oppsett'!$C$11))</f>
        <v/>
      </c>
    </row>
    <row r="129" spans="1:9" ht="15.75" thickBot="1" x14ac:dyDescent="0.3">
      <c r="A129" s="17">
        <v>125</v>
      </c>
      <c r="B129" s="36"/>
      <c r="C129" s="18"/>
      <c r="D129" s="18" t="str">
        <f>IFERROR(_xlfn.XLOOKUP($C129,factPensjon[Virksomhetsnr.],factPensjon[Forpliktelser]),"")</f>
        <v/>
      </c>
      <c r="E129" s="27"/>
      <c r="F129" s="28" t="str">
        <f>IFERROR(IF(E129="A",'0. Oppsett'!$C$23,IF(E129="B",'0. Oppsett'!$C$24,IF(E129="C",'0. Oppsett'!$C$25,""))),"")</f>
        <v/>
      </c>
      <c r="G129" s="20">
        <f>SUMIFS(BasilRadata[8E. Oppgi antall årsverk barnehagen har pensjonsforpliktelser for:],'1. BASIL-rådata'!$I$3:$I$500,'X. Satser pensjonstilskudd'!$C129,BasilRadata[År],'0. Oppsett'!$C$8)</f>
        <v>0</v>
      </c>
      <c r="H129" s="29"/>
      <c r="I129" s="30" t="str">
        <f>IF(OR(E129="",H129="",NOT(AND(ISNUMBER(F129),ISNUMBER(H129)))),"",H129*F129*(1+'0. Oppsett'!$C$11))</f>
        <v/>
      </c>
    </row>
    <row r="130" spans="1:9" ht="15.75" thickBot="1" x14ac:dyDescent="0.3">
      <c r="A130" s="21">
        <v>126</v>
      </c>
      <c r="B130" s="36"/>
      <c r="C130" s="18"/>
      <c r="D130" s="18" t="str">
        <f>IFERROR(_xlfn.XLOOKUP($C130,factPensjon[Virksomhetsnr.],factPensjon[Forpliktelser]),"")</f>
        <v/>
      </c>
      <c r="E130" s="27"/>
      <c r="F130" s="28" t="str">
        <f>IFERROR(IF(E130="A",'0. Oppsett'!$C$23,IF(E130="B",'0. Oppsett'!$C$24,IF(E130="C",'0. Oppsett'!$C$25,""))),"")</f>
        <v/>
      </c>
      <c r="G130" s="20">
        <f>SUMIFS(BasilRadata[8E. Oppgi antall årsverk barnehagen har pensjonsforpliktelser for:],'1. BASIL-rådata'!$I$3:$I$500,'X. Satser pensjonstilskudd'!$C130,BasilRadata[År],'0. Oppsett'!$C$8)</f>
        <v>0</v>
      </c>
      <c r="H130" s="29"/>
      <c r="I130" s="30" t="str">
        <f>IF(OR(E130="",H130="",NOT(AND(ISNUMBER(F130),ISNUMBER(H130)))),"",H130*F130*(1+'0. Oppsett'!$C$11))</f>
        <v/>
      </c>
    </row>
    <row r="131" spans="1:9" ht="15.75" thickBot="1" x14ac:dyDescent="0.3">
      <c r="A131" s="17">
        <v>127</v>
      </c>
      <c r="B131" s="36"/>
      <c r="C131" s="18"/>
      <c r="D131" s="18" t="str">
        <f>IFERROR(_xlfn.XLOOKUP($C131,factPensjon[Virksomhetsnr.],factPensjon[Forpliktelser]),"")</f>
        <v/>
      </c>
      <c r="E131" s="27"/>
      <c r="F131" s="28" t="str">
        <f>IFERROR(IF(E131="A",'0. Oppsett'!$C$23,IF(E131="B",'0. Oppsett'!$C$24,IF(E131="C",'0. Oppsett'!$C$25,""))),"")</f>
        <v/>
      </c>
      <c r="G131" s="20">
        <f>SUMIFS(BasilRadata[8E. Oppgi antall årsverk barnehagen har pensjonsforpliktelser for:],'1. BASIL-rådata'!$I$3:$I$500,'X. Satser pensjonstilskudd'!$C131,BasilRadata[År],'0. Oppsett'!$C$8)</f>
        <v>0</v>
      </c>
      <c r="H131" s="29"/>
      <c r="I131" s="30" t="str">
        <f>IF(OR(E131="",H131="",NOT(AND(ISNUMBER(F131),ISNUMBER(H131)))),"",H131*F131*(1+'0. Oppsett'!$C$11))</f>
        <v/>
      </c>
    </row>
    <row r="132" spans="1:9" ht="15.75" thickBot="1" x14ac:dyDescent="0.3">
      <c r="A132" s="21">
        <v>128</v>
      </c>
      <c r="B132" s="36"/>
      <c r="C132" s="18"/>
      <c r="D132" s="18" t="str">
        <f>IFERROR(_xlfn.XLOOKUP($C132,factPensjon[Virksomhetsnr.],factPensjon[Forpliktelser]),"")</f>
        <v/>
      </c>
      <c r="E132" s="27"/>
      <c r="F132" s="28" t="str">
        <f>IFERROR(IF(E132="A",'0. Oppsett'!$C$23,IF(E132="B",'0. Oppsett'!$C$24,IF(E132="C",'0. Oppsett'!$C$25,""))),"")</f>
        <v/>
      </c>
      <c r="G132" s="20">
        <f>SUMIFS(BasilRadata[8E. Oppgi antall årsverk barnehagen har pensjonsforpliktelser for:],'1. BASIL-rådata'!$I$3:$I$500,'X. Satser pensjonstilskudd'!$C132,BasilRadata[År],'0. Oppsett'!$C$8)</f>
        <v>0</v>
      </c>
      <c r="H132" s="29"/>
      <c r="I132" s="30" t="str">
        <f>IF(OR(E132="",H132="",NOT(AND(ISNUMBER(F132),ISNUMBER(H132)))),"",H132*F132*(1+'0. Oppsett'!$C$11))</f>
        <v/>
      </c>
    </row>
    <row r="133" spans="1:9" ht="15.75" thickBot="1" x14ac:dyDescent="0.3">
      <c r="A133" s="17">
        <v>129</v>
      </c>
      <c r="B133" s="36"/>
      <c r="C133" s="18"/>
      <c r="D133" s="18" t="str">
        <f>IFERROR(_xlfn.XLOOKUP($C133,factPensjon[Virksomhetsnr.],factPensjon[Forpliktelser]),"")</f>
        <v/>
      </c>
      <c r="E133" s="27"/>
      <c r="F133" s="28" t="str">
        <f>IFERROR(IF(E133="A",'0. Oppsett'!$C$23,IF(E133="B",'0. Oppsett'!$C$24,IF(E133="C",'0. Oppsett'!$C$25,""))),"")</f>
        <v/>
      </c>
      <c r="G133" s="20">
        <f>SUMIFS(BasilRadata[8E. Oppgi antall årsverk barnehagen har pensjonsforpliktelser for:],'1. BASIL-rådata'!$I$3:$I$500,'X. Satser pensjonstilskudd'!$C133,BasilRadata[År],'0. Oppsett'!$C$8)</f>
        <v>0</v>
      </c>
      <c r="H133" s="29"/>
      <c r="I133" s="30" t="str">
        <f>IF(OR(E133="",H133="",NOT(AND(ISNUMBER(F133),ISNUMBER(H133)))),"",H133*F133*(1+'0. Oppsett'!$C$11))</f>
        <v/>
      </c>
    </row>
    <row r="134" spans="1:9" ht="15.75" thickBot="1" x14ac:dyDescent="0.3">
      <c r="A134" s="21">
        <v>130</v>
      </c>
      <c r="B134" s="36"/>
      <c r="C134" s="18"/>
      <c r="D134" s="18" t="str">
        <f>IFERROR(_xlfn.XLOOKUP($C134,factPensjon[Virksomhetsnr.],factPensjon[Forpliktelser]),"")</f>
        <v/>
      </c>
      <c r="E134" s="27"/>
      <c r="F134" s="28" t="str">
        <f>IFERROR(IF(E134="A",'0. Oppsett'!$C$23,IF(E134="B",'0. Oppsett'!$C$24,IF(E134="C",'0. Oppsett'!$C$25,""))),"")</f>
        <v/>
      </c>
      <c r="G134" s="20">
        <f>SUMIFS(BasilRadata[8E. Oppgi antall årsverk barnehagen har pensjonsforpliktelser for:],'1. BASIL-rådata'!$I$3:$I$500,'X. Satser pensjonstilskudd'!$C134,BasilRadata[År],'0. Oppsett'!$C$8)</f>
        <v>0</v>
      </c>
      <c r="H134" s="29"/>
      <c r="I134" s="30" t="str">
        <f>IF(OR(E134="",H134="",NOT(AND(ISNUMBER(F134),ISNUMBER(H134)))),"",H134*F134*(1+'0. Oppsett'!$C$11))</f>
        <v/>
      </c>
    </row>
    <row r="135" spans="1:9" ht="15.75" thickBot="1" x14ac:dyDescent="0.3">
      <c r="A135" s="17">
        <v>131</v>
      </c>
      <c r="B135" s="36"/>
      <c r="C135" s="18"/>
      <c r="D135" s="18" t="str">
        <f>IFERROR(_xlfn.XLOOKUP($C135,factPensjon[Virksomhetsnr.],factPensjon[Forpliktelser]),"")</f>
        <v/>
      </c>
      <c r="E135" s="27"/>
      <c r="F135" s="28" t="str">
        <f>IFERROR(IF(E135="A",'0. Oppsett'!$C$23,IF(E135="B",'0. Oppsett'!$C$24,IF(E135="C",'0. Oppsett'!$C$25,""))),"")</f>
        <v/>
      </c>
      <c r="G135" s="20">
        <f>SUMIFS(BasilRadata[8E. Oppgi antall årsverk barnehagen har pensjonsforpliktelser for:],'1. BASIL-rådata'!$I$3:$I$500,'X. Satser pensjonstilskudd'!$C135,BasilRadata[År],'0. Oppsett'!$C$8)</f>
        <v>0</v>
      </c>
      <c r="H135" s="29"/>
      <c r="I135" s="30" t="str">
        <f>IF(OR(E135="",H135="",NOT(AND(ISNUMBER(F135),ISNUMBER(H135)))),"",H135*F135*(1+'0. Oppsett'!$C$11))</f>
        <v/>
      </c>
    </row>
    <row r="136" spans="1:9" ht="15.75" thickBot="1" x14ac:dyDescent="0.3">
      <c r="A136" s="21">
        <v>132</v>
      </c>
      <c r="B136" s="36"/>
      <c r="C136" s="18"/>
      <c r="D136" s="18" t="str">
        <f>IFERROR(_xlfn.XLOOKUP($C136,factPensjon[Virksomhetsnr.],factPensjon[Forpliktelser]),"")</f>
        <v/>
      </c>
      <c r="E136" s="27"/>
      <c r="F136" s="28" t="str">
        <f>IFERROR(IF(E136="A",'0. Oppsett'!$C$23,IF(E136="B",'0. Oppsett'!$C$24,IF(E136="C",'0. Oppsett'!$C$25,""))),"")</f>
        <v/>
      </c>
      <c r="G136" s="20">
        <f>SUMIFS(BasilRadata[8E. Oppgi antall årsverk barnehagen har pensjonsforpliktelser for:],'1. BASIL-rådata'!$I$3:$I$500,'X. Satser pensjonstilskudd'!$C136,BasilRadata[År],'0. Oppsett'!$C$8)</f>
        <v>0</v>
      </c>
      <c r="H136" s="29"/>
      <c r="I136" s="30" t="str">
        <f>IF(OR(E136="",H136="",NOT(AND(ISNUMBER(F136),ISNUMBER(H136)))),"",H136*F136*(1+'0. Oppsett'!$C$11))</f>
        <v/>
      </c>
    </row>
    <row r="137" spans="1:9" ht="15.75" thickBot="1" x14ac:dyDescent="0.3">
      <c r="A137" s="17">
        <v>133</v>
      </c>
      <c r="B137" s="36"/>
      <c r="C137" s="18"/>
      <c r="D137" s="18" t="str">
        <f>IFERROR(_xlfn.XLOOKUP($C137,factPensjon[Virksomhetsnr.],factPensjon[Forpliktelser]),"")</f>
        <v/>
      </c>
      <c r="E137" s="27"/>
      <c r="F137" s="28" t="str">
        <f>IFERROR(IF(E137="A",'0. Oppsett'!$C$23,IF(E137="B",'0. Oppsett'!$C$24,IF(E137="C",'0. Oppsett'!$C$25,""))),"")</f>
        <v/>
      </c>
      <c r="G137" s="20">
        <f>SUMIFS(BasilRadata[8E. Oppgi antall årsverk barnehagen har pensjonsforpliktelser for:],'1. BASIL-rådata'!$I$3:$I$500,'X. Satser pensjonstilskudd'!$C137,BasilRadata[År],'0. Oppsett'!$C$8)</f>
        <v>0</v>
      </c>
      <c r="H137" s="29"/>
      <c r="I137" s="30" t="str">
        <f>IF(OR(E137="",H137="",NOT(AND(ISNUMBER(F137),ISNUMBER(H137)))),"",H137*F137*(1+'0. Oppsett'!$C$11))</f>
        <v/>
      </c>
    </row>
    <row r="138" spans="1:9" ht="15.75" thickBot="1" x14ac:dyDescent="0.3">
      <c r="A138" s="21">
        <v>134</v>
      </c>
      <c r="B138" s="36"/>
      <c r="C138" s="18"/>
      <c r="D138" s="18" t="str">
        <f>IFERROR(_xlfn.XLOOKUP($C138,factPensjon[Virksomhetsnr.],factPensjon[Forpliktelser]),"")</f>
        <v/>
      </c>
      <c r="E138" s="27"/>
      <c r="F138" s="28" t="str">
        <f>IFERROR(IF(E138="A",'0. Oppsett'!$C$23,IF(E138="B",'0. Oppsett'!$C$24,IF(E138="C",'0. Oppsett'!$C$25,""))),"")</f>
        <v/>
      </c>
      <c r="G138" s="20">
        <f>SUMIFS(BasilRadata[8E. Oppgi antall årsverk barnehagen har pensjonsforpliktelser for:],'1. BASIL-rådata'!$I$3:$I$500,'X. Satser pensjonstilskudd'!$C138,BasilRadata[År],'0. Oppsett'!$C$8)</f>
        <v>0</v>
      </c>
      <c r="H138" s="29"/>
      <c r="I138" s="30" t="str">
        <f>IF(OR(E138="",H138="",NOT(AND(ISNUMBER(F138),ISNUMBER(H138)))),"",H138*F138*(1+'0. Oppsett'!$C$11))</f>
        <v/>
      </c>
    </row>
    <row r="139" spans="1:9" ht="15.75" thickBot="1" x14ac:dyDescent="0.3">
      <c r="A139" s="17">
        <v>135</v>
      </c>
      <c r="B139" s="36"/>
      <c r="C139" s="18"/>
      <c r="D139" s="18" t="str">
        <f>IFERROR(_xlfn.XLOOKUP($C139,factPensjon[Virksomhetsnr.],factPensjon[Forpliktelser]),"")</f>
        <v/>
      </c>
      <c r="E139" s="27"/>
      <c r="F139" s="28" t="str">
        <f>IFERROR(IF(E139="A",'0. Oppsett'!$C$23,IF(E139="B",'0. Oppsett'!$C$24,IF(E139="C",'0. Oppsett'!$C$25,""))),"")</f>
        <v/>
      </c>
      <c r="G139" s="20">
        <f>SUMIFS(BasilRadata[8E. Oppgi antall årsverk barnehagen har pensjonsforpliktelser for:],'1. BASIL-rådata'!$I$3:$I$500,'X. Satser pensjonstilskudd'!$C139,BasilRadata[År],'0. Oppsett'!$C$8)</f>
        <v>0</v>
      </c>
      <c r="H139" s="29"/>
      <c r="I139" s="30" t="str">
        <f>IF(OR(E139="",H139="",NOT(AND(ISNUMBER(F139),ISNUMBER(H139)))),"",H139*F139*(1+'0. Oppsett'!$C$11))</f>
        <v/>
      </c>
    </row>
    <row r="140" spans="1:9" ht="15.75" thickBot="1" x14ac:dyDescent="0.3">
      <c r="A140" s="21">
        <v>136</v>
      </c>
      <c r="B140" s="36"/>
      <c r="C140" s="18"/>
      <c r="D140" s="18" t="str">
        <f>IFERROR(_xlfn.XLOOKUP($C140,factPensjon[Virksomhetsnr.],factPensjon[Forpliktelser]),"")</f>
        <v/>
      </c>
      <c r="E140" s="27"/>
      <c r="F140" s="28" t="str">
        <f>IFERROR(IF(E140="A",'0. Oppsett'!$C$23,IF(E140="B",'0. Oppsett'!$C$24,IF(E140="C",'0. Oppsett'!$C$25,""))),"")</f>
        <v/>
      </c>
      <c r="G140" s="20">
        <f>SUMIFS(BasilRadata[8E. Oppgi antall årsverk barnehagen har pensjonsforpliktelser for:],'1. BASIL-rådata'!$I$3:$I$500,'X. Satser pensjonstilskudd'!$C140,BasilRadata[År],'0. Oppsett'!$C$8)</f>
        <v>0</v>
      </c>
      <c r="H140" s="29"/>
      <c r="I140" s="30" t="str">
        <f>IF(OR(E140="",H140="",NOT(AND(ISNUMBER(F140),ISNUMBER(H140)))),"",H140*F140*(1+'0. Oppsett'!$C$11))</f>
        <v/>
      </c>
    </row>
    <row r="141" spans="1:9" ht="15.75" thickBot="1" x14ac:dyDescent="0.3">
      <c r="A141" s="17">
        <v>137</v>
      </c>
      <c r="B141" s="36"/>
      <c r="C141" s="18"/>
      <c r="D141" s="18" t="str">
        <f>IFERROR(_xlfn.XLOOKUP($C141,factPensjon[Virksomhetsnr.],factPensjon[Forpliktelser]),"")</f>
        <v/>
      </c>
      <c r="E141" s="27"/>
      <c r="F141" s="28" t="str">
        <f>IFERROR(IF(E141="A",'0. Oppsett'!$C$23,IF(E141="B",'0. Oppsett'!$C$24,IF(E141="C",'0. Oppsett'!$C$25,""))),"")</f>
        <v/>
      </c>
      <c r="G141" s="20">
        <f>SUMIFS(BasilRadata[8E. Oppgi antall årsverk barnehagen har pensjonsforpliktelser for:],'1. BASIL-rådata'!$I$3:$I$500,'X. Satser pensjonstilskudd'!$C141,BasilRadata[År],'0. Oppsett'!$C$8)</f>
        <v>0</v>
      </c>
      <c r="H141" s="29"/>
      <c r="I141" s="30" t="str">
        <f>IF(OR(E141="",H141="",NOT(AND(ISNUMBER(F141),ISNUMBER(H141)))),"",H141*F141*(1+'0. Oppsett'!$C$11))</f>
        <v/>
      </c>
    </row>
    <row r="142" spans="1:9" ht="15.75" thickBot="1" x14ac:dyDescent="0.3">
      <c r="A142" s="21">
        <v>138</v>
      </c>
      <c r="B142" s="36"/>
      <c r="C142" s="18"/>
      <c r="D142" s="18" t="str">
        <f>IFERROR(_xlfn.XLOOKUP($C142,factPensjon[Virksomhetsnr.],factPensjon[Forpliktelser]),"")</f>
        <v/>
      </c>
      <c r="E142" s="27"/>
      <c r="F142" s="28" t="str">
        <f>IFERROR(IF(E142="A",'0. Oppsett'!$C$23,IF(E142="B",'0. Oppsett'!$C$24,IF(E142="C",'0. Oppsett'!$C$25,""))),"")</f>
        <v/>
      </c>
      <c r="G142" s="20">
        <f>SUMIFS(BasilRadata[8E. Oppgi antall årsverk barnehagen har pensjonsforpliktelser for:],'1. BASIL-rådata'!$I$3:$I$500,'X. Satser pensjonstilskudd'!$C142,BasilRadata[År],'0. Oppsett'!$C$8)</f>
        <v>0</v>
      </c>
      <c r="H142" s="29"/>
      <c r="I142" s="30" t="str">
        <f>IF(OR(E142="",H142="",NOT(AND(ISNUMBER(F142),ISNUMBER(H142)))),"",H142*F142*(1+'0. Oppsett'!$C$11))</f>
        <v/>
      </c>
    </row>
    <row r="143" spans="1:9" ht="15.75" thickBot="1" x14ac:dyDescent="0.3">
      <c r="A143" s="17">
        <v>139</v>
      </c>
      <c r="B143" s="36"/>
      <c r="C143" s="18"/>
      <c r="D143" s="18" t="str">
        <f>IFERROR(_xlfn.XLOOKUP($C143,factPensjon[Virksomhetsnr.],factPensjon[Forpliktelser]),"")</f>
        <v/>
      </c>
      <c r="E143" s="27"/>
      <c r="F143" s="28" t="str">
        <f>IFERROR(IF(E143="A",'0. Oppsett'!$C$23,IF(E143="B",'0. Oppsett'!$C$24,IF(E143="C",'0. Oppsett'!$C$25,""))),"")</f>
        <v/>
      </c>
      <c r="G143" s="20">
        <f>SUMIFS(BasilRadata[8E. Oppgi antall årsverk barnehagen har pensjonsforpliktelser for:],'1. BASIL-rådata'!$I$3:$I$500,'X. Satser pensjonstilskudd'!$C143,BasilRadata[År],'0. Oppsett'!$C$8)</f>
        <v>0</v>
      </c>
      <c r="H143" s="29"/>
      <c r="I143" s="30" t="str">
        <f>IF(OR(E143="",H143="",NOT(AND(ISNUMBER(F143),ISNUMBER(H143)))),"",H143*F143*(1+'0. Oppsett'!$C$11))</f>
        <v/>
      </c>
    </row>
    <row r="144" spans="1:9" ht="15.75" thickBot="1" x14ac:dyDescent="0.3">
      <c r="A144" s="21">
        <v>140</v>
      </c>
      <c r="B144" s="36"/>
      <c r="C144" s="18"/>
      <c r="D144" s="18" t="str">
        <f>IFERROR(_xlfn.XLOOKUP($C144,factPensjon[Virksomhetsnr.],factPensjon[Forpliktelser]),"")</f>
        <v/>
      </c>
      <c r="E144" s="27"/>
      <c r="F144" s="28" t="str">
        <f>IFERROR(IF(E144="A",'0. Oppsett'!$C$23,IF(E144="B",'0. Oppsett'!$C$24,IF(E144="C",'0. Oppsett'!$C$25,""))),"")</f>
        <v/>
      </c>
      <c r="G144" s="20">
        <f>SUMIFS(BasilRadata[8E. Oppgi antall årsverk barnehagen har pensjonsforpliktelser for:],'1. BASIL-rådata'!$I$3:$I$500,'X. Satser pensjonstilskudd'!$C144,BasilRadata[År],'0. Oppsett'!$C$8)</f>
        <v>0</v>
      </c>
      <c r="H144" s="29"/>
      <c r="I144" s="30" t="str">
        <f>IF(OR(E144="",H144="",NOT(AND(ISNUMBER(F144),ISNUMBER(H144)))),"",H144*F144*(1+'0. Oppsett'!$C$11))</f>
        <v/>
      </c>
    </row>
    <row r="145" spans="1:9" ht="15.75" thickBot="1" x14ac:dyDescent="0.3">
      <c r="A145" s="17">
        <v>141</v>
      </c>
      <c r="B145" s="36"/>
      <c r="C145" s="18"/>
      <c r="D145" s="18" t="str">
        <f>IFERROR(_xlfn.XLOOKUP($C145,factPensjon[Virksomhetsnr.],factPensjon[Forpliktelser]),"")</f>
        <v/>
      </c>
      <c r="E145" s="27"/>
      <c r="F145" s="28" t="str">
        <f>IFERROR(IF(E145="A",'0. Oppsett'!$C$23,IF(E145="B",'0. Oppsett'!$C$24,IF(E145="C",'0. Oppsett'!$C$25,""))),"")</f>
        <v/>
      </c>
      <c r="G145" s="20">
        <f>SUMIFS(BasilRadata[8E. Oppgi antall årsverk barnehagen har pensjonsforpliktelser for:],'1. BASIL-rådata'!$I$3:$I$500,'X. Satser pensjonstilskudd'!$C145,BasilRadata[År],'0. Oppsett'!$C$8)</f>
        <v>0</v>
      </c>
      <c r="H145" s="29"/>
      <c r="I145" s="30" t="str">
        <f>IF(OR(E145="",H145="",NOT(AND(ISNUMBER(F145),ISNUMBER(H145)))),"",H145*F145*(1+'0. Oppsett'!$C$11))</f>
        <v/>
      </c>
    </row>
    <row r="146" spans="1:9" ht="15.75" thickBot="1" x14ac:dyDescent="0.3">
      <c r="A146" s="21">
        <v>142</v>
      </c>
      <c r="B146" s="36"/>
      <c r="C146" s="18"/>
      <c r="D146" s="18" t="str">
        <f>IFERROR(_xlfn.XLOOKUP($C146,factPensjon[Virksomhetsnr.],factPensjon[Forpliktelser]),"")</f>
        <v/>
      </c>
      <c r="E146" s="27"/>
      <c r="F146" s="28" t="str">
        <f>IFERROR(IF(E146="A",'0. Oppsett'!$C$23,IF(E146="B",'0. Oppsett'!$C$24,IF(E146="C",'0. Oppsett'!$C$25,""))),"")</f>
        <v/>
      </c>
      <c r="G146" s="20">
        <f>SUMIFS(BasilRadata[8E. Oppgi antall årsverk barnehagen har pensjonsforpliktelser for:],'1. BASIL-rådata'!$I$3:$I$500,'X. Satser pensjonstilskudd'!$C146,BasilRadata[År],'0. Oppsett'!$C$8)</f>
        <v>0</v>
      </c>
      <c r="H146" s="29"/>
      <c r="I146" s="30" t="str">
        <f>IF(OR(E146="",H146="",NOT(AND(ISNUMBER(F146),ISNUMBER(H146)))),"",H146*F146*(1+'0. Oppsett'!$C$11))</f>
        <v/>
      </c>
    </row>
    <row r="147" spans="1:9" ht="15.75" thickBot="1" x14ac:dyDescent="0.3">
      <c r="A147" s="17">
        <v>143</v>
      </c>
      <c r="B147" s="36"/>
      <c r="C147" s="18"/>
      <c r="D147" s="18" t="str">
        <f>IFERROR(_xlfn.XLOOKUP($C147,factPensjon[Virksomhetsnr.],factPensjon[Forpliktelser]),"")</f>
        <v/>
      </c>
      <c r="E147" s="27"/>
      <c r="F147" s="28" t="str">
        <f>IFERROR(IF(E147="A",'0. Oppsett'!$C$23,IF(E147="B",'0. Oppsett'!$C$24,IF(E147="C",'0. Oppsett'!$C$25,""))),"")</f>
        <v/>
      </c>
      <c r="G147" s="20">
        <f>SUMIFS(BasilRadata[8E. Oppgi antall årsverk barnehagen har pensjonsforpliktelser for:],'1. BASIL-rådata'!$I$3:$I$500,'X. Satser pensjonstilskudd'!$C147,BasilRadata[År],'0. Oppsett'!$C$8)</f>
        <v>0</v>
      </c>
      <c r="H147" s="29"/>
      <c r="I147" s="30" t="str">
        <f>IF(OR(E147="",H147="",NOT(AND(ISNUMBER(F147),ISNUMBER(H147)))),"",H147*F147*(1+'0. Oppsett'!$C$11))</f>
        <v/>
      </c>
    </row>
    <row r="148" spans="1:9" ht="15.75" thickBot="1" x14ac:dyDescent="0.3">
      <c r="A148" s="21">
        <v>144</v>
      </c>
      <c r="B148" s="36"/>
      <c r="C148" s="18"/>
      <c r="D148" s="18" t="str">
        <f>IFERROR(_xlfn.XLOOKUP($C148,factPensjon[Virksomhetsnr.],factPensjon[Forpliktelser]),"")</f>
        <v/>
      </c>
      <c r="E148" s="27"/>
      <c r="F148" s="28" t="str">
        <f>IFERROR(IF(E148="A",'0. Oppsett'!$C$23,IF(E148="B",'0. Oppsett'!$C$24,IF(E148="C",'0. Oppsett'!$C$25,""))),"")</f>
        <v/>
      </c>
      <c r="G148" s="20">
        <f>SUMIFS(BasilRadata[8E. Oppgi antall årsverk barnehagen har pensjonsforpliktelser for:],'1. BASIL-rådata'!$I$3:$I$500,'X. Satser pensjonstilskudd'!$C148,BasilRadata[År],'0. Oppsett'!$C$8)</f>
        <v>0</v>
      </c>
      <c r="H148" s="29"/>
      <c r="I148" s="30" t="str">
        <f>IF(OR(E148="",H148="",NOT(AND(ISNUMBER(F148),ISNUMBER(H148)))),"",H148*F148*(1+'0. Oppsett'!$C$11))</f>
        <v/>
      </c>
    </row>
    <row r="149" spans="1:9" ht="15.75" thickBot="1" x14ac:dyDescent="0.3">
      <c r="A149" s="17">
        <v>145</v>
      </c>
      <c r="B149" s="36"/>
      <c r="C149" s="18"/>
      <c r="D149" s="18" t="str">
        <f>IFERROR(_xlfn.XLOOKUP($C149,factPensjon[Virksomhetsnr.],factPensjon[Forpliktelser]),"")</f>
        <v/>
      </c>
      <c r="E149" s="27"/>
      <c r="F149" s="28" t="str">
        <f>IFERROR(IF(E149="A",'0. Oppsett'!$C$23,IF(E149="B",'0. Oppsett'!$C$24,IF(E149="C",'0. Oppsett'!$C$25,""))),"")</f>
        <v/>
      </c>
      <c r="G149" s="20">
        <f>SUMIFS(BasilRadata[8E. Oppgi antall årsverk barnehagen har pensjonsforpliktelser for:],'1. BASIL-rådata'!$I$3:$I$500,'X. Satser pensjonstilskudd'!$C149,BasilRadata[År],'0. Oppsett'!$C$8)</f>
        <v>0</v>
      </c>
      <c r="H149" s="29"/>
      <c r="I149" s="30" t="str">
        <f>IF(OR(E149="",H149="",NOT(AND(ISNUMBER(F149),ISNUMBER(H149)))),"",H149*F149*(1+'0. Oppsett'!$C$11))</f>
        <v/>
      </c>
    </row>
    <row r="150" spans="1:9" ht="15.75" thickBot="1" x14ac:dyDescent="0.3">
      <c r="A150" s="21">
        <v>146</v>
      </c>
      <c r="B150" s="36"/>
      <c r="C150" s="18"/>
      <c r="D150" s="18" t="str">
        <f>IFERROR(_xlfn.XLOOKUP($C150,factPensjon[Virksomhetsnr.],factPensjon[Forpliktelser]),"")</f>
        <v/>
      </c>
      <c r="E150" s="27"/>
      <c r="F150" s="28" t="str">
        <f>IFERROR(IF(E150="A",'0. Oppsett'!$C$23,IF(E150="B",'0. Oppsett'!$C$24,IF(E150="C",'0. Oppsett'!$C$25,""))),"")</f>
        <v/>
      </c>
      <c r="G150" s="20">
        <f>SUMIFS(BasilRadata[8E. Oppgi antall årsverk barnehagen har pensjonsforpliktelser for:],'1. BASIL-rådata'!$I$3:$I$500,'X. Satser pensjonstilskudd'!$C150,BasilRadata[År],'0. Oppsett'!$C$8)</f>
        <v>0</v>
      </c>
      <c r="H150" s="29"/>
      <c r="I150" s="30" t="str">
        <f>IF(OR(E150="",H150="",NOT(AND(ISNUMBER(F150),ISNUMBER(H150)))),"",H150*F150*(1+'0. Oppsett'!$C$11))</f>
        <v/>
      </c>
    </row>
    <row r="151" spans="1:9" ht="15.75" thickBot="1" x14ac:dyDescent="0.3">
      <c r="A151" s="17">
        <v>147</v>
      </c>
      <c r="B151" s="36"/>
      <c r="C151" s="18"/>
      <c r="D151" s="18" t="str">
        <f>IFERROR(_xlfn.XLOOKUP($C151,factPensjon[Virksomhetsnr.],factPensjon[Forpliktelser]),"")</f>
        <v/>
      </c>
      <c r="E151" s="27"/>
      <c r="F151" s="28" t="str">
        <f>IFERROR(IF(E151="A",'0. Oppsett'!$C$23,IF(E151="B",'0. Oppsett'!$C$24,IF(E151="C",'0. Oppsett'!$C$25,""))),"")</f>
        <v/>
      </c>
      <c r="G151" s="20">
        <f>SUMIFS(BasilRadata[8E. Oppgi antall årsverk barnehagen har pensjonsforpliktelser for:],'1. BASIL-rådata'!$I$3:$I$500,'X. Satser pensjonstilskudd'!$C151,BasilRadata[År],'0. Oppsett'!$C$8)</f>
        <v>0</v>
      </c>
      <c r="H151" s="29"/>
      <c r="I151" s="30" t="str">
        <f>IF(OR(E151="",H151="",NOT(AND(ISNUMBER(F151),ISNUMBER(H151)))),"",H151*F151*(1+'0. Oppsett'!$C$11))</f>
        <v/>
      </c>
    </row>
    <row r="152" spans="1:9" ht="15.75" thickBot="1" x14ac:dyDescent="0.3">
      <c r="A152" s="21">
        <v>148</v>
      </c>
      <c r="B152" s="36"/>
      <c r="C152" s="18"/>
      <c r="D152" s="18" t="str">
        <f>IFERROR(_xlfn.XLOOKUP($C152,factPensjon[Virksomhetsnr.],factPensjon[Forpliktelser]),"")</f>
        <v/>
      </c>
      <c r="E152" s="27"/>
      <c r="F152" s="28" t="str">
        <f>IFERROR(IF(E152="A",'0. Oppsett'!$C$23,IF(E152="B",'0. Oppsett'!$C$24,IF(E152="C",'0. Oppsett'!$C$25,""))),"")</f>
        <v/>
      </c>
      <c r="G152" s="20">
        <f>SUMIFS(BasilRadata[8E. Oppgi antall årsverk barnehagen har pensjonsforpliktelser for:],'1. BASIL-rådata'!$I$3:$I$500,'X. Satser pensjonstilskudd'!$C152,BasilRadata[År],'0. Oppsett'!$C$8)</f>
        <v>0</v>
      </c>
      <c r="H152" s="29"/>
      <c r="I152" s="30" t="str">
        <f>IF(OR(E152="",H152="",NOT(AND(ISNUMBER(F152),ISNUMBER(H152)))),"",H152*F152*(1+'0. Oppsett'!$C$11))</f>
        <v/>
      </c>
    </row>
    <row r="153" spans="1:9" ht="15.75" thickBot="1" x14ac:dyDescent="0.3">
      <c r="A153" s="17">
        <v>149</v>
      </c>
      <c r="B153" s="36"/>
      <c r="C153" s="18"/>
      <c r="D153" s="18" t="str">
        <f>IFERROR(_xlfn.XLOOKUP($C153,factPensjon[Virksomhetsnr.],factPensjon[Forpliktelser]),"")</f>
        <v/>
      </c>
      <c r="E153" s="27"/>
      <c r="F153" s="28" t="str">
        <f>IFERROR(IF(E153="A",'0. Oppsett'!$C$23,IF(E153="B",'0. Oppsett'!$C$24,IF(E153="C",'0. Oppsett'!$C$25,""))),"")</f>
        <v/>
      </c>
      <c r="G153" s="20">
        <f>SUMIFS(BasilRadata[8E. Oppgi antall årsverk barnehagen har pensjonsforpliktelser for:],'1. BASIL-rådata'!$I$3:$I$500,'X. Satser pensjonstilskudd'!$C153,BasilRadata[År],'0. Oppsett'!$C$8)</f>
        <v>0</v>
      </c>
      <c r="H153" s="29"/>
      <c r="I153" s="30" t="str">
        <f>IF(OR(E153="",H153="",NOT(AND(ISNUMBER(F153),ISNUMBER(H153)))),"",H153*F153*(1+'0. Oppsett'!$C$11))</f>
        <v/>
      </c>
    </row>
    <row r="154" spans="1:9" ht="15.75" thickBot="1" x14ac:dyDescent="0.3">
      <c r="A154" s="21">
        <v>150</v>
      </c>
      <c r="B154" s="36"/>
      <c r="C154" s="18"/>
      <c r="D154" s="18" t="str">
        <f>IFERROR(_xlfn.XLOOKUP($C154,factPensjon[Virksomhetsnr.],factPensjon[Forpliktelser]),"")</f>
        <v/>
      </c>
      <c r="E154" s="27"/>
      <c r="F154" s="28" t="str">
        <f>IFERROR(IF(E154="A",'0. Oppsett'!$C$23,IF(E154="B",'0. Oppsett'!$C$24,IF(E154="C",'0. Oppsett'!$C$25,""))),"")</f>
        <v/>
      </c>
      <c r="G154" s="20">
        <f>SUMIFS(BasilRadata[8E. Oppgi antall årsverk barnehagen har pensjonsforpliktelser for:],'1. BASIL-rådata'!$I$3:$I$500,'X. Satser pensjonstilskudd'!$C154,BasilRadata[År],'0. Oppsett'!$C$8)</f>
        <v>0</v>
      </c>
      <c r="H154" s="29"/>
      <c r="I154" s="30" t="str">
        <f>IF(OR(E154="",H154="",NOT(AND(ISNUMBER(F154),ISNUMBER(H154)))),"",H154*F154*(1+'0. Oppsett'!$C$11))</f>
        <v/>
      </c>
    </row>
    <row r="155" spans="1:9" ht="15.75" thickBot="1" x14ac:dyDescent="0.3">
      <c r="A155" s="17">
        <v>151</v>
      </c>
      <c r="B155" s="36"/>
      <c r="C155" s="18"/>
      <c r="D155" s="18" t="str">
        <f>IFERROR(_xlfn.XLOOKUP($C155,factPensjon[Virksomhetsnr.],factPensjon[Forpliktelser]),"")</f>
        <v/>
      </c>
      <c r="E155" s="27"/>
      <c r="F155" s="28" t="str">
        <f>IFERROR(IF(E155="A",'0. Oppsett'!$C$23,IF(E155="B",'0. Oppsett'!$C$24,IF(E155="C",'0. Oppsett'!$C$25,""))),"")</f>
        <v/>
      </c>
      <c r="G155" s="20">
        <f>SUMIFS(BasilRadata[8E. Oppgi antall årsverk barnehagen har pensjonsforpliktelser for:],'1. BASIL-rådata'!$I$3:$I$500,'X. Satser pensjonstilskudd'!$C155,BasilRadata[År],'0. Oppsett'!$C$8)</f>
        <v>0</v>
      </c>
      <c r="H155" s="29"/>
      <c r="I155" s="30" t="str">
        <f>IF(OR(E155="",H155="",NOT(AND(ISNUMBER(F155),ISNUMBER(H155)))),"",H155*F155*(1+'0. Oppsett'!$C$11))</f>
        <v/>
      </c>
    </row>
    <row r="156" spans="1:9" ht="15.75" thickBot="1" x14ac:dyDescent="0.3">
      <c r="A156" s="21">
        <v>152</v>
      </c>
      <c r="B156" s="36"/>
      <c r="C156" s="18"/>
      <c r="D156" s="18" t="str">
        <f>IFERROR(_xlfn.XLOOKUP($C156,factPensjon[Virksomhetsnr.],factPensjon[Forpliktelser]),"")</f>
        <v/>
      </c>
      <c r="E156" s="27"/>
      <c r="F156" s="28" t="str">
        <f>IFERROR(IF(E156="A",'0. Oppsett'!$C$23,IF(E156="B",'0. Oppsett'!$C$24,IF(E156="C",'0. Oppsett'!$C$25,""))),"")</f>
        <v/>
      </c>
      <c r="G156" s="20">
        <f>SUMIFS(BasilRadata[8E. Oppgi antall årsverk barnehagen har pensjonsforpliktelser for:],'1. BASIL-rådata'!$I$3:$I$500,'X. Satser pensjonstilskudd'!$C156,BasilRadata[År],'0. Oppsett'!$C$8)</f>
        <v>0</v>
      </c>
      <c r="H156" s="29"/>
      <c r="I156" s="30" t="str">
        <f>IF(OR(E156="",H156="",NOT(AND(ISNUMBER(F156),ISNUMBER(H156)))),"",H156*F156*(1+'0. Oppsett'!$C$11))</f>
        <v/>
      </c>
    </row>
    <row r="157" spans="1:9" ht="15.75" thickBot="1" x14ac:dyDescent="0.3">
      <c r="A157" s="17">
        <v>153</v>
      </c>
      <c r="B157" s="36"/>
      <c r="C157" s="18"/>
      <c r="D157" s="18" t="str">
        <f>IFERROR(_xlfn.XLOOKUP($C157,factPensjon[Virksomhetsnr.],factPensjon[Forpliktelser]),"")</f>
        <v/>
      </c>
      <c r="E157" s="27"/>
      <c r="F157" s="28" t="str">
        <f>IFERROR(IF(E157="A",'0. Oppsett'!$C$23,IF(E157="B",'0. Oppsett'!$C$24,IF(E157="C",'0. Oppsett'!$C$25,""))),"")</f>
        <v/>
      </c>
      <c r="G157" s="20">
        <f>SUMIFS(BasilRadata[8E. Oppgi antall årsverk barnehagen har pensjonsforpliktelser for:],'1. BASIL-rådata'!$I$3:$I$500,'X. Satser pensjonstilskudd'!$C157,BasilRadata[År],'0. Oppsett'!$C$8)</f>
        <v>0</v>
      </c>
      <c r="H157" s="29"/>
      <c r="I157" s="30" t="str">
        <f>IF(OR(E157="",H157="",NOT(AND(ISNUMBER(F157),ISNUMBER(H157)))),"",H157*F157*(1+'0. Oppsett'!$C$11))</f>
        <v/>
      </c>
    </row>
    <row r="158" spans="1:9" ht="15.75" thickBot="1" x14ac:dyDescent="0.3">
      <c r="A158" s="21">
        <v>154</v>
      </c>
      <c r="B158" s="36"/>
      <c r="C158" s="18"/>
      <c r="D158" s="18" t="str">
        <f>IFERROR(_xlfn.XLOOKUP($C158,factPensjon[Virksomhetsnr.],factPensjon[Forpliktelser]),"")</f>
        <v/>
      </c>
      <c r="E158" s="27"/>
      <c r="F158" s="28" t="str">
        <f>IFERROR(IF(E158="A",'0. Oppsett'!$C$23,IF(E158="B",'0. Oppsett'!$C$24,IF(E158="C",'0. Oppsett'!$C$25,""))),"")</f>
        <v/>
      </c>
      <c r="G158" s="20">
        <f>SUMIFS(BasilRadata[8E. Oppgi antall årsverk barnehagen har pensjonsforpliktelser for:],'1. BASIL-rådata'!$I$3:$I$500,'X. Satser pensjonstilskudd'!$C158,BasilRadata[År],'0. Oppsett'!$C$8)</f>
        <v>0</v>
      </c>
      <c r="H158" s="29"/>
      <c r="I158" s="30" t="str">
        <f>IF(OR(E158="",H158="",NOT(AND(ISNUMBER(F158),ISNUMBER(H158)))),"",H158*F158*(1+'0. Oppsett'!$C$11))</f>
        <v/>
      </c>
    </row>
    <row r="159" spans="1:9" ht="15.75" thickBot="1" x14ac:dyDescent="0.3">
      <c r="A159" s="17">
        <v>155</v>
      </c>
      <c r="B159" s="36"/>
      <c r="C159" s="18"/>
      <c r="D159" s="18" t="str">
        <f>IFERROR(_xlfn.XLOOKUP($C159,factPensjon[Virksomhetsnr.],factPensjon[Forpliktelser]),"")</f>
        <v/>
      </c>
      <c r="E159" s="27"/>
      <c r="F159" s="28" t="str">
        <f>IFERROR(IF(E159="A",'0. Oppsett'!$C$23,IF(E159="B",'0. Oppsett'!$C$24,IF(E159="C",'0. Oppsett'!$C$25,""))),"")</f>
        <v/>
      </c>
      <c r="G159" s="20">
        <f>SUMIFS(BasilRadata[8E. Oppgi antall årsverk barnehagen har pensjonsforpliktelser for:],'1. BASIL-rådata'!$I$3:$I$500,'X. Satser pensjonstilskudd'!$C159,BasilRadata[År],'0. Oppsett'!$C$8)</f>
        <v>0</v>
      </c>
      <c r="H159" s="29"/>
      <c r="I159" s="30" t="str">
        <f>IF(OR(E159="",H159="",NOT(AND(ISNUMBER(F159),ISNUMBER(H159)))),"",H159*F159*(1+'0. Oppsett'!$C$11))</f>
        <v/>
      </c>
    </row>
    <row r="160" spans="1:9" ht="15.75" thickBot="1" x14ac:dyDescent="0.3">
      <c r="A160" s="21">
        <v>156</v>
      </c>
      <c r="B160" s="36"/>
      <c r="C160" s="18"/>
      <c r="D160" s="18" t="str">
        <f>IFERROR(_xlfn.XLOOKUP($C160,factPensjon[Virksomhetsnr.],factPensjon[Forpliktelser]),"")</f>
        <v/>
      </c>
      <c r="E160" s="27"/>
      <c r="F160" s="28" t="str">
        <f>IFERROR(IF(E160="A",'0. Oppsett'!$C$23,IF(E160="B",'0. Oppsett'!$C$24,IF(E160="C",'0. Oppsett'!$C$25,""))),"")</f>
        <v/>
      </c>
      <c r="G160" s="20">
        <f>SUMIFS(BasilRadata[8E. Oppgi antall årsverk barnehagen har pensjonsforpliktelser for:],'1. BASIL-rådata'!$I$3:$I$500,'X. Satser pensjonstilskudd'!$C160,BasilRadata[År],'0. Oppsett'!$C$8)</f>
        <v>0</v>
      </c>
      <c r="H160" s="29"/>
      <c r="I160" s="30" t="str">
        <f>IF(OR(E160="",H160="",NOT(AND(ISNUMBER(F160),ISNUMBER(H160)))),"",H160*F160*(1+'0. Oppsett'!$C$11))</f>
        <v/>
      </c>
    </row>
    <row r="161" spans="1:9" ht="15.75" thickBot="1" x14ac:dyDescent="0.3">
      <c r="A161" s="17">
        <v>157</v>
      </c>
      <c r="B161" s="36"/>
      <c r="C161" s="18"/>
      <c r="D161" s="18" t="str">
        <f>IFERROR(_xlfn.XLOOKUP($C161,factPensjon[Virksomhetsnr.],factPensjon[Forpliktelser]),"")</f>
        <v/>
      </c>
      <c r="E161" s="27"/>
      <c r="F161" s="28" t="str">
        <f>IFERROR(IF(E161="A",'0. Oppsett'!$C$23,IF(E161="B",'0. Oppsett'!$C$24,IF(E161="C",'0. Oppsett'!$C$25,""))),"")</f>
        <v/>
      </c>
      <c r="G161" s="20">
        <f>SUMIFS(BasilRadata[8E. Oppgi antall årsverk barnehagen har pensjonsforpliktelser for:],'1. BASIL-rådata'!$I$3:$I$500,'X. Satser pensjonstilskudd'!$C161,BasilRadata[År],'0. Oppsett'!$C$8)</f>
        <v>0</v>
      </c>
      <c r="H161" s="29"/>
      <c r="I161" s="30" t="str">
        <f>IF(OR(E161="",H161="",NOT(AND(ISNUMBER(F161),ISNUMBER(H161)))),"",H161*F161*(1+'0. Oppsett'!$C$11))</f>
        <v/>
      </c>
    </row>
    <row r="162" spans="1:9" ht="15.75" thickBot="1" x14ac:dyDescent="0.3">
      <c r="A162" s="21">
        <v>158</v>
      </c>
      <c r="B162" s="36"/>
      <c r="C162" s="18"/>
      <c r="D162" s="18" t="str">
        <f>IFERROR(_xlfn.XLOOKUP($C162,factPensjon[Virksomhetsnr.],factPensjon[Forpliktelser]),"")</f>
        <v/>
      </c>
      <c r="E162" s="27"/>
      <c r="F162" s="28" t="str">
        <f>IFERROR(IF(E162="A",'0. Oppsett'!$C$23,IF(E162="B",'0. Oppsett'!$C$24,IF(E162="C",'0. Oppsett'!$C$25,""))),"")</f>
        <v/>
      </c>
      <c r="G162" s="20">
        <f>SUMIFS(BasilRadata[8E. Oppgi antall årsverk barnehagen har pensjonsforpliktelser for:],'1. BASIL-rådata'!$I$3:$I$500,'X. Satser pensjonstilskudd'!$C162,BasilRadata[År],'0. Oppsett'!$C$8)</f>
        <v>0</v>
      </c>
      <c r="H162" s="29"/>
      <c r="I162" s="30" t="str">
        <f>IF(OR(E162="",H162="",NOT(AND(ISNUMBER(F162),ISNUMBER(H162)))),"",H162*F162*(1+'0. Oppsett'!$C$11))</f>
        <v/>
      </c>
    </row>
    <row r="163" spans="1:9" ht="15.75" thickBot="1" x14ac:dyDescent="0.3">
      <c r="A163" s="17">
        <v>159</v>
      </c>
      <c r="B163" s="36"/>
      <c r="C163" s="18"/>
      <c r="D163" s="18" t="str">
        <f>IFERROR(_xlfn.XLOOKUP($C163,factPensjon[Virksomhetsnr.],factPensjon[Forpliktelser]),"")</f>
        <v/>
      </c>
      <c r="E163" s="27"/>
      <c r="F163" s="28" t="str">
        <f>IFERROR(IF(E163="A",'0. Oppsett'!$C$23,IF(E163="B",'0. Oppsett'!$C$24,IF(E163="C",'0. Oppsett'!$C$25,""))),"")</f>
        <v/>
      </c>
      <c r="G163" s="20">
        <f>SUMIFS(BasilRadata[8E. Oppgi antall årsverk barnehagen har pensjonsforpliktelser for:],'1. BASIL-rådata'!$I$3:$I$500,'X. Satser pensjonstilskudd'!$C163,BasilRadata[År],'0. Oppsett'!$C$8)</f>
        <v>0</v>
      </c>
      <c r="H163" s="29"/>
      <c r="I163" s="30" t="str">
        <f>IF(OR(E163="",H163="",NOT(AND(ISNUMBER(F163),ISNUMBER(H163)))),"",H163*F163*(1+'0. Oppsett'!$C$11))</f>
        <v/>
      </c>
    </row>
    <row r="164" spans="1:9" ht="15.75" thickBot="1" x14ac:dyDescent="0.3">
      <c r="A164" s="21">
        <v>160</v>
      </c>
      <c r="B164" s="36"/>
      <c r="C164" s="18"/>
      <c r="D164" s="18" t="str">
        <f>IFERROR(_xlfn.XLOOKUP($C164,factPensjon[Virksomhetsnr.],factPensjon[Forpliktelser]),"")</f>
        <v/>
      </c>
      <c r="E164" s="27"/>
      <c r="F164" s="28" t="str">
        <f>IFERROR(IF(E164="A",'0. Oppsett'!$C$23,IF(E164="B",'0. Oppsett'!$C$24,IF(E164="C",'0. Oppsett'!$C$25,""))),"")</f>
        <v/>
      </c>
      <c r="G164" s="20">
        <f>SUMIFS(BasilRadata[8E. Oppgi antall årsverk barnehagen har pensjonsforpliktelser for:],'1. BASIL-rådata'!$I$3:$I$500,'X. Satser pensjonstilskudd'!$C164,BasilRadata[År],'0. Oppsett'!$C$8)</f>
        <v>0</v>
      </c>
      <c r="H164" s="29"/>
      <c r="I164" s="30" t="str">
        <f>IF(OR(E164="",H164="",NOT(AND(ISNUMBER(F164),ISNUMBER(H164)))),"",H164*F164*(1+'0. Oppsett'!$C$11))</f>
        <v/>
      </c>
    </row>
    <row r="165" spans="1:9" ht="15.75" thickBot="1" x14ac:dyDescent="0.3">
      <c r="A165" s="17">
        <v>161</v>
      </c>
      <c r="B165" s="36"/>
      <c r="C165" s="18"/>
      <c r="D165" s="18" t="str">
        <f>IFERROR(_xlfn.XLOOKUP($C165,factPensjon[Virksomhetsnr.],factPensjon[Forpliktelser]),"")</f>
        <v/>
      </c>
      <c r="E165" s="27"/>
      <c r="F165" s="28" t="str">
        <f>IFERROR(IF(E165="A",'0. Oppsett'!$C$23,IF(E165="B",'0. Oppsett'!$C$24,IF(E165="C",'0. Oppsett'!$C$25,""))),"")</f>
        <v/>
      </c>
      <c r="G165" s="20">
        <f>SUMIFS(BasilRadata[8E. Oppgi antall årsverk barnehagen har pensjonsforpliktelser for:],'1. BASIL-rådata'!$I$3:$I$500,'X. Satser pensjonstilskudd'!$C165,BasilRadata[År],'0. Oppsett'!$C$8)</f>
        <v>0</v>
      </c>
      <c r="H165" s="29"/>
      <c r="I165" s="30" t="str">
        <f>IF(OR(E165="",H165="",NOT(AND(ISNUMBER(F165),ISNUMBER(H165)))),"",H165*F165*(1+'0. Oppsett'!$C$11))</f>
        <v/>
      </c>
    </row>
    <row r="166" spans="1:9" ht="15.75" thickBot="1" x14ac:dyDescent="0.3">
      <c r="A166" s="21">
        <v>162</v>
      </c>
      <c r="B166" s="36"/>
      <c r="C166" s="18"/>
      <c r="D166" s="18" t="str">
        <f>IFERROR(_xlfn.XLOOKUP($C166,factPensjon[Virksomhetsnr.],factPensjon[Forpliktelser]),"")</f>
        <v/>
      </c>
      <c r="E166" s="27"/>
      <c r="F166" s="28" t="str">
        <f>IFERROR(IF(E166="A",'0. Oppsett'!$C$23,IF(E166="B",'0. Oppsett'!$C$24,IF(E166="C",'0. Oppsett'!$C$25,""))),"")</f>
        <v/>
      </c>
      <c r="G166" s="20">
        <f>SUMIFS(BasilRadata[8E. Oppgi antall årsverk barnehagen har pensjonsforpliktelser for:],'1. BASIL-rådata'!$I$3:$I$500,'X. Satser pensjonstilskudd'!$C166,BasilRadata[År],'0. Oppsett'!$C$8)</f>
        <v>0</v>
      </c>
      <c r="H166" s="29"/>
      <c r="I166" s="30" t="str">
        <f>IF(OR(E166="",H166="",NOT(AND(ISNUMBER(F166),ISNUMBER(H166)))),"",H166*F166*(1+'0. Oppsett'!$C$11))</f>
        <v/>
      </c>
    </row>
    <row r="167" spans="1:9" ht="15.75" thickBot="1" x14ac:dyDescent="0.3">
      <c r="A167" s="17">
        <v>163</v>
      </c>
      <c r="B167" s="36"/>
      <c r="C167" s="18"/>
      <c r="D167" s="18" t="str">
        <f>IFERROR(_xlfn.XLOOKUP($C167,factPensjon[Virksomhetsnr.],factPensjon[Forpliktelser]),"")</f>
        <v/>
      </c>
      <c r="E167" s="27"/>
      <c r="F167" s="28" t="str">
        <f>IFERROR(IF(E167="A",'0. Oppsett'!$C$23,IF(E167="B",'0. Oppsett'!$C$24,IF(E167="C",'0. Oppsett'!$C$25,""))),"")</f>
        <v/>
      </c>
      <c r="G167" s="20">
        <f>SUMIFS(BasilRadata[8E. Oppgi antall årsverk barnehagen har pensjonsforpliktelser for:],'1. BASIL-rådata'!$I$3:$I$500,'X. Satser pensjonstilskudd'!$C167,BasilRadata[År],'0. Oppsett'!$C$8)</f>
        <v>0</v>
      </c>
      <c r="H167" s="29"/>
      <c r="I167" s="30" t="str">
        <f>IF(OR(E167="",H167="",NOT(AND(ISNUMBER(F167),ISNUMBER(H167)))),"",H167*F167*(1+'0. Oppsett'!$C$11))</f>
        <v/>
      </c>
    </row>
    <row r="168" spans="1:9" ht="15.75" thickBot="1" x14ac:dyDescent="0.3">
      <c r="A168" s="21">
        <v>164</v>
      </c>
      <c r="B168" s="36"/>
      <c r="C168" s="18"/>
      <c r="D168" s="18" t="str">
        <f>IFERROR(_xlfn.XLOOKUP($C168,factPensjon[Virksomhetsnr.],factPensjon[Forpliktelser]),"")</f>
        <v/>
      </c>
      <c r="E168" s="27"/>
      <c r="F168" s="28" t="str">
        <f>IFERROR(IF(E168="A",'0. Oppsett'!$C$23,IF(E168="B",'0. Oppsett'!$C$24,IF(E168="C",'0. Oppsett'!$C$25,""))),"")</f>
        <v/>
      </c>
      <c r="G168" s="20">
        <f>SUMIFS(BasilRadata[8E. Oppgi antall årsverk barnehagen har pensjonsforpliktelser for:],'1. BASIL-rådata'!$I$3:$I$500,'X. Satser pensjonstilskudd'!$C168,BasilRadata[År],'0. Oppsett'!$C$8)</f>
        <v>0</v>
      </c>
      <c r="H168" s="29"/>
      <c r="I168" s="30" t="str">
        <f>IF(OR(E168="",H168="",NOT(AND(ISNUMBER(F168),ISNUMBER(H168)))),"",H168*F168*(1+'0. Oppsett'!$C$11))</f>
        <v/>
      </c>
    </row>
    <row r="169" spans="1:9" ht="15.75" thickBot="1" x14ac:dyDescent="0.3">
      <c r="A169" s="17">
        <v>165</v>
      </c>
      <c r="B169" s="36"/>
      <c r="C169" s="18"/>
      <c r="D169" s="18" t="str">
        <f>IFERROR(_xlfn.XLOOKUP($C169,factPensjon[Virksomhetsnr.],factPensjon[Forpliktelser]),"")</f>
        <v/>
      </c>
      <c r="E169" s="27"/>
      <c r="F169" s="28" t="str">
        <f>IFERROR(IF(E169="A",'0. Oppsett'!$C$23,IF(E169="B",'0. Oppsett'!$C$24,IF(E169="C",'0. Oppsett'!$C$25,""))),"")</f>
        <v/>
      </c>
      <c r="G169" s="20">
        <f>SUMIFS(BasilRadata[8E. Oppgi antall årsverk barnehagen har pensjonsforpliktelser for:],'1. BASIL-rådata'!$I$3:$I$500,'X. Satser pensjonstilskudd'!$C169,BasilRadata[År],'0. Oppsett'!$C$8)</f>
        <v>0</v>
      </c>
      <c r="H169" s="29"/>
      <c r="I169" s="30" t="str">
        <f>IF(OR(E169="",H169="",NOT(AND(ISNUMBER(F169),ISNUMBER(H169)))),"",H169*F169*(1+'0. Oppsett'!$C$11))</f>
        <v/>
      </c>
    </row>
    <row r="170" spans="1:9" ht="15.75" thickBot="1" x14ac:dyDescent="0.3">
      <c r="A170" s="21">
        <v>166</v>
      </c>
      <c r="B170" s="36"/>
      <c r="C170" s="18"/>
      <c r="D170" s="18" t="str">
        <f>IFERROR(_xlfn.XLOOKUP($C170,factPensjon[Virksomhetsnr.],factPensjon[Forpliktelser]),"")</f>
        <v/>
      </c>
      <c r="E170" s="27"/>
      <c r="F170" s="28" t="str">
        <f>IFERROR(IF(E170="A",'0. Oppsett'!$C$23,IF(E170="B",'0. Oppsett'!$C$24,IF(E170="C",'0. Oppsett'!$C$25,""))),"")</f>
        <v/>
      </c>
      <c r="G170" s="20">
        <f>SUMIFS(BasilRadata[8E. Oppgi antall årsverk barnehagen har pensjonsforpliktelser for:],'1. BASIL-rådata'!$I$3:$I$500,'X. Satser pensjonstilskudd'!$C170,BasilRadata[År],'0. Oppsett'!$C$8)</f>
        <v>0</v>
      </c>
      <c r="H170" s="29"/>
      <c r="I170" s="30" t="str">
        <f>IF(OR(E170="",H170="",NOT(AND(ISNUMBER(F170),ISNUMBER(H170)))),"",H170*F170*(1+'0. Oppsett'!$C$11))</f>
        <v/>
      </c>
    </row>
    <row r="171" spans="1:9" ht="15.75" thickBot="1" x14ac:dyDescent="0.3">
      <c r="A171" s="17">
        <v>167</v>
      </c>
      <c r="B171" s="36"/>
      <c r="C171" s="18"/>
      <c r="D171" s="18" t="str">
        <f>IFERROR(_xlfn.XLOOKUP($C171,factPensjon[Virksomhetsnr.],factPensjon[Forpliktelser]),"")</f>
        <v/>
      </c>
      <c r="E171" s="27"/>
      <c r="F171" s="28" t="str">
        <f>IFERROR(IF(E171="A",'0. Oppsett'!$C$23,IF(E171="B",'0. Oppsett'!$C$24,IF(E171="C",'0. Oppsett'!$C$25,""))),"")</f>
        <v/>
      </c>
      <c r="G171" s="20">
        <f>SUMIFS(BasilRadata[8E. Oppgi antall årsverk barnehagen har pensjonsforpliktelser for:],'1. BASIL-rådata'!$I$3:$I$500,'X. Satser pensjonstilskudd'!$C171,BasilRadata[År],'0. Oppsett'!$C$8)</f>
        <v>0</v>
      </c>
      <c r="H171" s="29"/>
      <c r="I171" s="30" t="str">
        <f>IF(OR(E171="",H171="",NOT(AND(ISNUMBER(F171),ISNUMBER(H171)))),"",H171*F171*(1+'0. Oppsett'!$C$11))</f>
        <v/>
      </c>
    </row>
    <row r="172" spans="1:9" ht="15.75" thickBot="1" x14ac:dyDescent="0.3">
      <c r="A172" s="21">
        <v>168</v>
      </c>
      <c r="B172" s="36"/>
      <c r="C172" s="18"/>
      <c r="D172" s="18" t="str">
        <f>IFERROR(_xlfn.XLOOKUP($C172,factPensjon[Virksomhetsnr.],factPensjon[Forpliktelser]),"")</f>
        <v/>
      </c>
      <c r="E172" s="27"/>
      <c r="F172" s="28" t="str">
        <f>IFERROR(IF(E172="A",'0. Oppsett'!$C$23,IF(E172="B",'0. Oppsett'!$C$24,IF(E172="C",'0. Oppsett'!$C$25,""))),"")</f>
        <v/>
      </c>
      <c r="G172" s="20">
        <f>SUMIFS(BasilRadata[8E. Oppgi antall årsverk barnehagen har pensjonsforpliktelser for:],'1. BASIL-rådata'!$I$3:$I$500,'X. Satser pensjonstilskudd'!$C172,BasilRadata[År],'0. Oppsett'!$C$8)</f>
        <v>0</v>
      </c>
      <c r="H172" s="29"/>
      <c r="I172" s="30" t="str">
        <f>IF(OR(E172="",H172="",NOT(AND(ISNUMBER(F172),ISNUMBER(H172)))),"",H172*F172*(1+'0. Oppsett'!$C$11))</f>
        <v/>
      </c>
    </row>
    <row r="173" spans="1:9" ht="15.75" thickBot="1" x14ac:dyDescent="0.3">
      <c r="A173" s="17">
        <v>169</v>
      </c>
      <c r="B173" s="36"/>
      <c r="C173" s="18"/>
      <c r="D173" s="18" t="str">
        <f>IFERROR(_xlfn.XLOOKUP($C173,factPensjon[Virksomhetsnr.],factPensjon[Forpliktelser]),"")</f>
        <v/>
      </c>
      <c r="E173" s="27"/>
      <c r="F173" s="28" t="str">
        <f>IFERROR(IF(E173="A",'0. Oppsett'!$C$23,IF(E173="B",'0. Oppsett'!$C$24,IF(E173="C",'0. Oppsett'!$C$25,""))),"")</f>
        <v/>
      </c>
      <c r="G173" s="20">
        <f>SUMIFS(BasilRadata[8E. Oppgi antall årsverk barnehagen har pensjonsforpliktelser for:],'1. BASIL-rådata'!$I$3:$I$500,'X. Satser pensjonstilskudd'!$C173,BasilRadata[År],'0. Oppsett'!$C$8)</f>
        <v>0</v>
      </c>
      <c r="H173" s="29"/>
      <c r="I173" s="30" t="str">
        <f>IF(OR(E173="",H173="",NOT(AND(ISNUMBER(F173),ISNUMBER(H173)))),"",H173*F173*(1+'0. Oppsett'!$C$11))</f>
        <v/>
      </c>
    </row>
    <row r="174" spans="1:9" ht="15.75" thickBot="1" x14ac:dyDescent="0.3">
      <c r="A174" s="21">
        <v>170</v>
      </c>
      <c r="B174" s="36"/>
      <c r="C174" s="18"/>
      <c r="D174" s="18" t="str">
        <f>IFERROR(_xlfn.XLOOKUP($C174,factPensjon[Virksomhetsnr.],factPensjon[Forpliktelser]),"")</f>
        <v/>
      </c>
      <c r="E174" s="27"/>
      <c r="F174" s="28" t="str">
        <f>IFERROR(IF(E174="A",'0. Oppsett'!$C$23,IF(E174="B",'0. Oppsett'!$C$24,IF(E174="C",'0. Oppsett'!$C$25,""))),"")</f>
        <v/>
      </c>
      <c r="G174" s="20">
        <f>SUMIFS(BasilRadata[8E. Oppgi antall årsverk barnehagen har pensjonsforpliktelser for:],'1. BASIL-rådata'!$I$3:$I$500,'X. Satser pensjonstilskudd'!$C174,BasilRadata[År],'0. Oppsett'!$C$8)</f>
        <v>0</v>
      </c>
      <c r="H174" s="29"/>
      <c r="I174" s="30" t="str">
        <f>IF(OR(E174="",H174="",NOT(AND(ISNUMBER(F174),ISNUMBER(H174)))),"",H174*F174*(1+'0. Oppsett'!$C$11))</f>
        <v/>
      </c>
    </row>
    <row r="175" spans="1:9" ht="15.75" thickBot="1" x14ac:dyDescent="0.3">
      <c r="A175" s="17">
        <v>171</v>
      </c>
      <c r="B175" s="36"/>
      <c r="C175" s="18"/>
      <c r="D175" s="18" t="str">
        <f>IFERROR(_xlfn.XLOOKUP($C175,factPensjon[Virksomhetsnr.],factPensjon[Forpliktelser]),"")</f>
        <v/>
      </c>
      <c r="E175" s="27"/>
      <c r="F175" s="28" t="str">
        <f>IFERROR(IF(E175="A",'0. Oppsett'!$C$23,IF(E175="B",'0. Oppsett'!$C$24,IF(E175="C",'0. Oppsett'!$C$25,""))),"")</f>
        <v/>
      </c>
      <c r="G175" s="20">
        <f>SUMIFS(BasilRadata[8E. Oppgi antall årsverk barnehagen har pensjonsforpliktelser for:],'1. BASIL-rådata'!$I$3:$I$500,'X. Satser pensjonstilskudd'!$C175,BasilRadata[År],'0. Oppsett'!$C$8)</f>
        <v>0</v>
      </c>
      <c r="H175" s="29"/>
      <c r="I175" s="30" t="str">
        <f>IF(OR(E175="",H175="",NOT(AND(ISNUMBER(F175),ISNUMBER(H175)))),"",H175*F175*(1+'0. Oppsett'!$C$11))</f>
        <v/>
      </c>
    </row>
    <row r="176" spans="1:9" ht="15.75" thickBot="1" x14ac:dyDescent="0.3">
      <c r="A176" s="21">
        <v>172</v>
      </c>
      <c r="B176" s="36"/>
      <c r="C176" s="18"/>
      <c r="D176" s="18" t="str">
        <f>IFERROR(_xlfn.XLOOKUP($C176,factPensjon[Virksomhetsnr.],factPensjon[Forpliktelser]),"")</f>
        <v/>
      </c>
      <c r="E176" s="27"/>
      <c r="F176" s="28" t="str">
        <f>IFERROR(IF(E176="A",'0. Oppsett'!$C$23,IF(E176="B",'0. Oppsett'!$C$24,IF(E176="C",'0. Oppsett'!$C$25,""))),"")</f>
        <v/>
      </c>
      <c r="G176" s="20">
        <f>SUMIFS(BasilRadata[8E. Oppgi antall årsverk barnehagen har pensjonsforpliktelser for:],'1. BASIL-rådata'!$I$3:$I$500,'X. Satser pensjonstilskudd'!$C176,BasilRadata[År],'0. Oppsett'!$C$8)</f>
        <v>0</v>
      </c>
      <c r="H176" s="29"/>
      <c r="I176" s="30" t="str">
        <f>IF(OR(E176="",H176="",NOT(AND(ISNUMBER(F176),ISNUMBER(H176)))),"",H176*F176*(1+'0. Oppsett'!$C$11))</f>
        <v/>
      </c>
    </row>
    <row r="177" spans="1:9" ht="15.75" thickBot="1" x14ac:dyDescent="0.3">
      <c r="A177" s="17">
        <v>173</v>
      </c>
      <c r="B177" s="36"/>
      <c r="C177" s="18"/>
      <c r="D177" s="18" t="str">
        <f>IFERROR(_xlfn.XLOOKUP($C177,factPensjon[Virksomhetsnr.],factPensjon[Forpliktelser]),"")</f>
        <v/>
      </c>
      <c r="E177" s="27"/>
      <c r="F177" s="28" t="str">
        <f>IFERROR(IF(E177="A",'0. Oppsett'!$C$23,IF(E177="B",'0. Oppsett'!$C$24,IF(E177="C",'0. Oppsett'!$C$25,""))),"")</f>
        <v/>
      </c>
      <c r="G177" s="20">
        <f>SUMIFS(BasilRadata[8E. Oppgi antall årsverk barnehagen har pensjonsforpliktelser for:],'1. BASIL-rådata'!$I$3:$I$500,'X. Satser pensjonstilskudd'!$C177,BasilRadata[År],'0. Oppsett'!$C$8)</f>
        <v>0</v>
      </c>
      <c r="H177" s="29"/>
      <c r="I177" s="30" t="str">
        <f>IF(OR(E177="",H177="",NOT(AND(ISNUMBER(F177),ISNUMBER(H177)))),"",H177*F177*(1+'0. Oppsett'!$C$11))</f>
        <v/>
      </c>
    </row>
    <row r="178" spans="1:9" ht="15.75" thickBot="1" x14ac:dyDescent="0.3">
      <c r="A178" s="21">
        <v>174</v>
      </c>
      <c r="B178" s="36"/>
      <c r="C178" s="18"/>
      <c r="D178" s="18" t="str">
        <f>IFERROR(_xlfn.XLOOKUP($C178,factPensjon[Virksomhetsnr.],factPensjon[Forpliktelser]),"")</f>
        <v/>
      </c>
      <c r="E178" s="27"/>
      <c r="F178" s="28" t="str">
        <f>IFERROR(IF(E178="A",'0. Oppsett'!$C$23,IF(E178="B",'0. Oppsett'!$C$24,IF(E178="C",'0. Oppsett'!$C$25,""))),"")</f>
        <v/>
      </c>
      <c r="G178" s="20">
        <f>SUMIFS(BasilRadata[8E. Oppgi antall årsverk barnehagen har pensjonsforpliktelser for:],'1. BASIL-rådata'!$I$3:$I$500,'X. Satser pensjonstilskudd'!$C178,BasilRadata[År],'0. Oppsett'!$C$8)</f>
        <v>0</v>
      </c>
      <c r="H178" s="29"/>
      <c r="I178" s="30" t="str">
        <f>IF(OR(E178="",H178="",NOT(AND(ISNUMBER(F178),ISNUMBER(H178)))),"",H178*F178*(1+'0. Oppsett'!$C$11))</f>
        <v/>
      </c>
    </row>
    <row r="179" spans="1:9" ht="15.75" thickBot="1" x14ac:dyDescent="0.3">
      <c r="A179" s="17">
        <v>175</v>
      </c>
      <c r="B179" s="36"/>
      <c r="C179" s="18"/>
      <c r="D179" s="18" t="str">
        <f>IFERROR(_xlfn.XLOOKUP($C179,factPensjon[Virksomhetsnr.],factPensjon[Forpliktelser]),"")</f>
        <v/>
      </c>
      <c r="E179" s="27"/>
      <c r="F179" s="28" t="str">
        <f>IFERROR(IF(E179="A",'0. Oppsett'!$C$23,IF(E179="B",'0. Oppsett'!$C$24,IF(E179="C",'0. Oppsett'!$C$25,""))),"")</f>
        <v/>
      </c>
      <c r="G179" s="20">
        <f>SUMIFS(BasilRadata[8E. Oppgi antall årsverk barnehagen har pensjonsforpliktelser for:],'1. BASIL-rådata'!$I$3:$I$500,'X. Satser pensjonstilskudd'!$C179,BasilRadata[År],'0. Oppsett'!$C$8)</f>
        <v>0</v>
      </c>
      <c r="H179" s="29"/>
      <c r="I179" s="30" t="str">
        <f>IF(OR(E179="",H179="",NOT(AND(ISNUMBER(F179),ISNUMBER(H179)))),"",H179*F179*(1+'0. Oppsett'!$C$11))</f>
        <v/>
      </c>
    </row>
    <row r="180" spans="1:9" ht="15.75" thickBot="1" x14ac:dyDescent="0.3">
      <c r="A180" s="21">
        <v>176</v>
      </c>
      <c r="B180" s="36"/>
      <c r="C180" s="18"/>
      <c r="D180" s="18" t="str">
        <f>IFERROR(_xlfn.XLOOKUP($C180,factPensjon[Virksomhetsnr.],factPensjon[Forpliktelser]),"")</f>
        <v/>
      </c>
      <c r="E180" s="27"/>
      <c r="F180" s="28" t="str">
        <f>IFERROR(IF(E180="A",'0. Oppsett'!$C$23,IF(E180="B",'0. Oppsett'!$C$24,IF(E180="C",'0. Oppsett'!$C$25,""))),"")</f>
        <v/>
      </c>
      <c r="G180" s="20">
        <f>SUMIFS(BasilRadata[8E. Oppgi antall årsverk barnehagen har pensjonsforpliktelser for:],'1. BASIL-rådata'!$I$3:$I$500,'X. Satser pensjonstilskudd'!$C180,BasilRadata[År],'0. Oppsett'!$C$8)</f>
        <v>0</v>
      </c>
      <c r="H180" s="29"/>
      <c r="I180" s="30" t="str">
        <f>IF(OR(E180="",H180="",NOT(AND(ISNUMBER(F180),ISNUMBER(H180)))),"",H180*F180*(1+'0. Oppsett'!$C$11))</f>
        <v/>
      </c>
    </row>
    <row r="181" spans="1:9" ht="15.75" thickBot="1" x14ac:dyDescent="0.3">
      <c r="A181" s="17">
        <v>177</v>
      </c>
      <c r="B181" s="36"/>
      <c r="C181" s="18"/>
      <c r="D181" s="18" t="str">
        <f>IFERROR(_xlfn.XLOOKUP($C181,factPensjon[Virksomhetsnr.],factPensjon[Forpliktelser]),"")</f>
        <v/>
      </c>
      <c r="E181" s="27"/>
      <c r="F181" s="28" t="str">
        <f>IFERROR(IF(E181="A",'0. Oppsett'!$C$23,IF(E181="B",'0. Oppsett'!$C$24,IF(E181="C",'0. Oppsett'!$C$25,""))),"")</f>
        <v/>
      </c>
      <c r="G181" s="20">
        <f>SUMIFS(BasilRadata[8E. Oppgi antall årsverk barnehagen har pensjonsforpliktelser for:],'1. BASIL-rådata'!$I$3:$I$500,'X. Satser pensjonstilskudd'!$C181,BasilRadata[År],'0. Oppsett'!$C$8)</f>
        <v>0</v>
      </c>
      <c r="H181" s="29"/>
      <c r="I181" s="30" t="str">
        <f>IF(OR(E181="",H181="",NOT(AND(ISNUMBER(F181),ISNUMBER(H181)))),"",H181*F181*(1+'0. Oppsett'!$C$11))</f>
        <v/>
      </c>
    </row>
    <row r="182" spans="1:9" ht="15.75" thickBot="1" x14ac:dyDescent="0.3">
      <c r="A182" s="21">
        <v>178</v>
      </c>
      <c r="B182" s="36"/>
      <c r="C182" s="18"/>
      <c r="D182" s="18" t="str">
        <f>IFERROR(_xlfn.XLOOKUP($C182,factPensjon[Virksomhetsnr.],factPensjon[Forpliktelser]),"")</f>
        <v/>
      </c>
      <c r="E182" s="27"/>
      <c r="F182" s="28" t="str">
        <f>IFERROR(IF(E182="A",'0. Oppsett'!$C$23,IF(E182="B",'0. Oppsett'!$C$24,IF(E182="C",'0. Oppsett'!$C$25,""))),"")</f>
        <v/>
      </c>
      <c r="G182" s="20">
        <f>SUMIFS(BasilRadata[8E. Oppgi antall årsverk barnehagen har pensjonsforpliktelser for:],'1. BASIL-rådata'!$I$3:$I$500,'X. Satser pensjonstilskudd'!$C182,BasilRadata[År],'0. Oppsett'!$C$8)</f>
        <v>0</v>
      </c>
      <c r="H182" s="29"/>
      <c r="I182" s="30" t="str">
        <f>IF(OR(E182="",H182="",NOT(AND(ISNUMBER(F182),ISNUMBER(H182)))),"",H182*F182*(1+'0. Oppsett'!$C$11))</f>
        <v/>
      </c>
    </row>
    <row r="183" spans="1:9" ht="15.75" thickBot="1" x14ac:dyDescent="0.3">
      <c r="A183" s="17">
        <v>179</v>
      </c>
      <c r="B183" s="36"/>
      <c r="C183" s="18"/>
      <c r="D183" s="18" t="str">
        <f>IFERROR(_xlfn.XLOOKUP($C183,factPensjon[Virksomhetsnr.],factPensjon[Forpliktelser]),"")</f>
        <v/>
      </c>
      <c r="E183" s="27"/>
      <c r="F183" s="28" t="str">
        <f>IFERROR(IF(E183="A",'0. Oppsett'!$C$23,IF(E183="B",'0. Oppsett'!$C$24,IF(E183="C",'0. Oppsett'!$C$25,""))),"")</f>
        <v/>
      </c>
      <c r="G183" s="20">
        <f>SUMIFS(BasilRadata[8E. Oppgi antall årsverk barnehagen har pensjonsforpliktelser for:],'1. BASIL-rådata'!$I$3:$I$500,'X. Satser pensjonstilskudd'!$C183,BasilRadata[År],'0. Oppsett'!$C$8)</f>
        <v>0</v>
      </c>
      <c r="H183" s="29"/>
      <c r="I183" s="30" t="str">
        <f>IF(OR(E183="",H183="",NOT(AND(ISNUMBER(F183),ISNUMBER(H183)))),"",H183*F183*(1+'0. Oppsett'!$C$11))</f>
        <v/>
      </c>
    </row>
    <row r="184" spans="1:9" ht="15.75" thickBot="1" x14ac:dyDescent="0.3">
      <c r="A184" s="21">
        <v>180</v>
      </c>
      <c r="B184" s="36"/>
      <c r="C184" s="18"/>
      <c r="D184" s="18" t="str">
        <f>IFERROR(_xlfn.XLOOKUP($C184,factPensjon[Virksomhetsnr.],factPensjon[Forpliktelser]),"")</f>
        <v/>
      </c>
      <c r="E184" s="27"/>
      <c r="F184" s="28" t="str">
        <f>IFERROR(IF(E184="A",'0. Oppsett'!$C$23,IF(E184="B",'0. Oppsett'!$C$24,IF(E184="C",'0. Oppsett'!$C$25,""))),"")</f>
        <v/>
      </c>
      <c r="G184" s="20">
        <f>SUMIFS(BasilRadata[8E. Oppgi antall årsverk barnehagen har pensjonsforpliktelser for:],'1. BASIL-rådata'!$I$3:$I$500,'X. Satser pensjonstilskudd'!$C184,BasilRadata[År],'0. Oppsett'!$C$8)</f>
        <v>0</v>
      </c>
      <c r="H184" s="29"/>
      <c r="I184" s="30" t="str">
        <f>IF(OR(E184="",H184="",NOT(AND(ISNUMBER(F184),ISNUMBER(H184)))),"",H184*F184*(1+'0. Oppsett'!$C$11))</f>
        <v/>
      </c>
    </row>
    <row r="185" spans="1:9" ht="15.75" thickBot="1" x14ac:dyDescent="0.3">
      <c r="A185" s="17">
        <v>181</v>
      </c>
      <c r="B185" s="36"/>
      <c r="C185" s="18"/>
      <c r="D185" s="18" t="str">
        <f>IFERROR(_xlfn.XLOOKUP($C185,factPensjon[Virksomhetsnr.],factPensjon[Forpliktelser]),"")</f>
        <v/>
      </c>
      <c r="E185" s="27"/>
      <c r="F185" s="28" t="str">
        <f>IFERROR(IF(E185="A",'0. Oppsett'!$C$23,IF(E185="B",'0. Oppsett'!$C$24,IF(E185="C",'0. Oppsett'!$C$25,""))),"")</f>
        <v/>
      </c>
      <c r="G185" s="20">
        <f>SUMIFS(BasilRadata[8E. Oppgi antall årsverk barnehagen har pensjonsforpliktelser for:],'1. BASIL-rådata'!$I$3:$I$500,'X. Satser pensjonstilskudd'!$C185,BasilRadata[År],'0. Oppsett'!$C$8)</f>
        <v>0</v>
      </c>
      <c r="H185" s="29"/>
      <c r="I185" s="30" t="str">
        <f>IF(OR(E185="",H185="",NOT(AND(ISNUMBER(F185),ISNUMBER(H185)))),"",H185*F185*(1+'0. Oppsett'!$C$11))</f>
        <v/>
      </c>
    </row>
    <row r="186" spans="1:9" ht="15.75" thickBot="1" x14ac:dyDescent="0.3">
      <c r="A186" s="21">
        <v>182</v>
      </c>
      <c r="B186" s="36"/>
      <c r="C186" s="18"/>
      <c r="D186" s="18" t="str">
        <f>IFERROR(_xlfn.XLOOKUP($C186,factPensjon[Virksomhetsnr.],factPensjon[Forpliktelser]),"")</f>
        <v/>
      </c>
      <c r="E186" s="27"/>
      <c r="F186" s="28" t="str">
        <f>IFERROR(IF(E186="A",'0. Oppsett'!$C$23,IF(E186="B",'0. Oppsett'!$C$24,IF(E186="C",'0. Oppsett'!$C$25,""))),"")</f>
        <v/>
      </c>
      <c r="G186" s="20">
        <f>SUMIFS(BasilRadata[8E. Oppgi antall årsverk barnehagen har pensjonsforpliktelser for:],'1. BASIL-rådata'!$I$3:$I$500,'X. Satser pensjonstilskudd'!$C186,BasilRadata[År],'0. Oppsett'!$C$8)</f>
        <v>0</v>
      </c>
      <c r="H186" s="29"/>
      <c r="I186" s="30" t="str">
        <f>IF(OR(E186="",H186="",NOT(AND(ISNUMBER(F186),ISNUMBER(H186)))),"",H186*F186*(1+'0. Oppsett'!$C$11))</f>
        <v/>
      </c>
    </row>
    <row r="187" spans="1:9" ht="15.75" thickBot="1" x14ac:dyDescent="0.3">
      <c r="A187" s="17">
        <v>183</v>
      </c>
      <c r="B187" s="36"/>
      <c r="C187" s="18"/>
      <c r="D187" s="18" t="str">
        <f>IFERROR(_xlfn.XLOOKUP($C187,factPensjon[Virksomhetsnr.],factPensjon[Forpliktelser]),"")</f>
        <v/>
      </c>
      <c r="E187" s="27"/>
      <c r="F187" s="28" t="str">
        <f>IFERROR(IF(E187="A",'0. Oppsett'!$C$23,IF(E187="B",'0. Oppsett'!$C$24,IF(E187="C",'0. Oppsett'!$C$25,""))),"")</f>
        <v/>
      </c>
      <c r="G187" s="20">
        <f>SUMIFS(BasilRadata[8E. Oppgi antall årsverk barnehagen har pensjonsforpliktelser for:],'1. BASIL-rådata'!$I$3:$I$500,'X. Satser pensjonstilskudd'!$C187,BasilRadata[År],'0. Oppsett'!$C$8)</f>
        <v>0</v>
      </c>
      <c r="H187" s="29"/>
      <c r="I187" s="30" t="str">
        <f>IF(OR(E187="",H187="",NOT(AND(ISNUMBER(F187),ISNUMBER(H187)))),"",H187*F187*(1+'0. Oppsett'!$C$11))</f>
        <v/>
      </c>
    </row>
    <row r="188" spans="1:9" ht="15.75" thickBot="1" x14ac:dyDescent="0.3">
      <c r="A188" s="21">
        <v>184</v>
      </c>
      <c r="B188" s="36"/>
      <c r="C188" s="18"/>
      <c r="D188" s="18" t="str">
        <f>IFERROR(_xlfn.XLOOKUP($C188,factPensjon[Virksomhetsnr.],factPensjon[Forpliktelser]),"")</f>
        <v/>
      </c>
      <c r="E188" s="27"/>
      <c r="F188" s="28" t="str">
        <f>IFERROR(IF(E188="A",'0. Oppsett'!$C$23,IF(E188="B",'0. Oppsett'!$C$24,IF(E188="C",'0. Oppsett'!$C$25,""))),"")</f>
        <v/>
      </c>
      <c r="G188" s="20">
        <f>SUMIFS(BasilRadata[8E. Oppgi antall årsverk barnehagen har pensjonsforpliktelser for:],'1. BASIL-rådata'!$I$3:$I$500,'X. Satser pensjonstilskudd'!$C188,BasilRadata[År],'0. Oppsett'!$C$8)</f>
        <v>0</v>
      </c>
      <c r="H188" s="29"/>
      <c r="I188" s="30" t="str">
        <f>IF(OR(E188="",H188="",NOT(AND(ISNUMBER(F188),ISNUMBER(H188)))),"",H188*F188*(1+'0. Oppsett'!$C$11))</f>
        <v/>
      </c>
    </row>
    <row r="189" spans="1:9" ht="15.75" thickBot="1" x14ac:dyDescent="0.3">
      <c r="A189" s="17">
        <v>185</v>
      </c>
      <c r="B189" s="36"/>
      <c r="C189" s="18"/>
      <c r="D189" s="18" t="str">
        <f>IFERROR(_xlfn.XLOOKUP($C189,factPensjon[Virksomhetsnr.],factPensjon[Forpliktelser]),"")</f>
        <v/>
      </c>
      <c r="E189" s="27"/>
      <c r="F189" s="28" t="str">
        <f>IFERROR(IF(E189="A",'0. Oppsett'!$C$23,IF(E189="B",'0. Oppsett'!$C$24,IF(E189="C",'0. Oppsett'!$C$25,""))),"")</f>
        <v/>
      </c>
      <c r="G189" s="20">
        <f>SUMIFS(BasilRadata[8E. Oppgi antall årsverk barnehagen har pensjonsforpliktelser for:],'1. BASIL-rådata'!$I$3:$I$500,'X. Satser pensjonstilskudd'!$C189,BasilRadata[År],'0. Oppsett'!$C$8)</f>
        <v>0</v>
      </c>
      <c r="H189" s="29"/>
      <c r="I189" s="30" t="str">
        <f>IF(OR(E189="",H189="",NOT(AND(ISNUMBER(F189),ISNUMBER(H189)))),"",H189*F189*(1+'0. Oppsett'!$C$11))</f>
        <v/>
      </c>
    </row>
    <row r="190" spans="1:9" ht="15.75" thickBot="1" x14ac:dyDescent="0.3">
      <c r="A190" s="21">
        <v>186</v>
      </c>
      <c r="B190" s="36"/>
      <c r="C190" s="18"/>
      <c r="D190" s="18" t="str">
        <f>IFERROR(_xlfn.XLOOKUP($C190,factPensjon[Virksomhetsnr.],factPensjon[Forpliktelser]),"")</f>
        <v/>
      </c>
      <c r="E190" s="27"/>
      <c r="F190" s="28" t="str">
        <f>IFERROR(IF(E190="A",'0. Oppsett'!$C$23,IF(E190="B",'0. Oppsett'!$C$24,IF(E190="C",'0. Oppsett'!$C$25,""))),"")</f>
        <v/>
      </c>
      <c r="G190" s="20">
        <f>SUMIFS(BasilRadata[8E. Oppgi antall årsverk barnehagen har pensjonsforpliktelser for:],'1. BASIL-rådata'!$I$3:$I$500,'X. Satser pensjonstilskudd'!$C190,BasilRadata[År],'0. Oppsett'!$C$8)</f>
        <v>0</v>
      </c>
      <c r="H190" s="29"/>
      <c r="I190" s="30" t="str">
        <f>IF(OR(E190="",H190="",NOT(AND(ISNUMBER(F190),ISNUMBER(H190)))),"",H190*F190*(1+'0. Oppsett'!$C$11))</f>
        <v/>
      </c>
    </row>
    <row r="191" spans="1:9" ht="15.75" thickBot="1" x14ac:dyDescent="0.3">
      <c r="A191" s="17">
        <v>187</v>
      </c>
      <c r="B191" s="36"/>
      <c r="C191" s="18"/>
      <c r="D191" s="18" t="str">
        <f>IFERROR(_xlfn.XLOOKUP($C191,factPensjon[Virksomhetsnr.],factPensjon[Forpliktelser]),"")</f>
        <v/>
      </c>
      <c r="E191" s="27"/>
      <c r="F191" s="28" t="str">
        <f>IFERROR(IF(E191="A",'0. Oppsett'!$C$23,IF(E191="B",'0. Oppsett'!$C$24,IF(E191="C",'0. Oppsett'!$C$25,""))),"")</f>
        <v/>
      </c>
      <c r="G191" s="20">
        <f>SUMIFS(BasilRadata[8E. Oppgi antall årsverk barnehagen har pensjonsforpliktelser for:],'1. BASIL-rådata'!$I$3:$I$500,'X. Satser pensjonstilskudd'!$C191,BasilRadata[År],'0. Oppsett'!$C$8)</f>
        <v>0</v>
      </c>
      <c r="H191" s="29"/>
      <c r="I191" s="30" t="str">
        <f>IF(OR(E191="",H191="",NOT(AND(ISNUMBER(F191),ISNUMBER(H191)))),"",H191*F191*(1+'0. Oppsett'!$C$11))</f>
        <v/>
      </c>
    </row>
    <row r="192" spans="1:9" ht="15.75" thickBot="1" x14ac:dyDescent="0.3">
      <c r="A192" s="21">
        <v>188</v>
      </c>
      <c r="B192" s="36"/>
      <c r="C192" s="18"/>
      <c r="D192" s="18" t="str">
        <f>IFERROR(_xlfn.XLOOKUP($C192,factPensjon[Virksomhetsnr.],factPensjon[Forpliktelser]),"")</f>
        <v/>
      </c>
      <c r="E192" s="27"/>
      <c r="F192" s="28" t="str">
        <f>IFERROR(IF(E192="A",'0. Oppsett'!$C$23,IF(E192="B",'0. Oppsett'!$C$24,IF(E192="C",'0. Oppsett'!$C$25,""))),"")</f>
        <v/>
      </c>
      <c r="G192" s="20">
        <f>SUMIFS(BasilRadata[8E. Oppgi antall årsverk barnehagen har pensjonsforpliktelser for:],'1. BASIL-rådata'!$I$3:$I$500,'X. Satser pensjonstilskudd'!$C192,BasilRadata[År],'0. Oppsett'!$C$8)</f>
        <v>0</v>
      </c>
      <c r="H192" s="29"/>
      <c r="I192" s="30" t="str">
        <f>IF(OR(E192="",H192="",NOT(AND(ISNUMBER(F192),ISNUMBER(H192)))),"",H192*F192*(1+'0. Oppsett'!$C$11))</f>
        <v/>
      </c>
    </row>
    <row r="193" spans="1:9" ht="15.75" thickBot="1" x14ac:dyDescent="0.3">
      <c r="A193" s="17">
        <v>189</v>
      </c>
      <c r="B193" s="36"/>
      <c r="C193" s="18"/>
      <c r="D193" s="18" t="str">
        <f>IFERROR(_xlfn.XLOOKUP($C193,factPensjon[Virksomhetsnr.],factPensjon[Forpliktelser]),"")</f>
        <v/>
      </c>
      <c r="E193" s="27"/>
      <c r="F193" s="28" t="str">
        <f>IFERROR(IF(E193="A",'0. Oppsett'!$C$23,IF(E193="B",'0. Oppsett'!$C$24,IF(E193="C",'0. Oppsett'!$C$25,""))),"")</f>
        <v/>
      </c>
      <c r="G193" s="20">
        <f>SUMIFS(BasilRadata[8E. Oppgi antall årsverk barnehagen har pensjonsforpliktelser for:],'1. BASIL-rådata'!$I$3:$I$500,'X. Satser pensjonstilskudd'!$C193,BasilRadata[År],'0. Oppsett'!$C$8)</f>
        <v>0</v>
      </c>
      <c r="H193" s="29"/>
      <c r="I193" s="30" t="str">
        <f>IF(OR(E193="",H193="",NOT(AND(ISNUMBER(F193),ISNUMBER(H193)))),"",H193*F193*(1+'0. Oppsett'!$C$11))</f>
        <v/>
      </c>
    </row>
    <row r="194" spans="1:9" ht="15.75" thickBot="1" x14ac:dyDescent="0.3">
      <c r="A194" s="21">
        <v>190</v>
      </c>
      <c r="B194" s="36"/>
      <c r="C194" s="18"/>
      <c r="D194" s="18" t="str">
        <f>IFERROR(_xlfn.XLOOKUP($C194,factPensjon[Virksomhetsnr.],factPensjon[Forpliktelser]),"")</f>
        <v/>
      </c>
      <c r="E194" s="27"/>
      <c r="F194" s="28" t="str">
        <f>IFERROR(IF(E194="A",'0. Oppsett'!$C$23,IF(E194="B",'0. Oppsett'!$C$24,IF(E194="C",'0. Oppsett'!$C$25,""))),"")</f>
        <v/>
      </c>
      <c r="G194" s="20">
        <f>SUMIFS(BasilRadata[8E. Oppgi antall årsverk barnehagen har pensjonsforpliktelser for:],'1. BASIL-rådata'!$I$3:$I$500,'X. Satser pensjonstilskudd'!$C194,BasilRadata[År],'0. Oppsett'!$C$8)</f>
        <v>0</v>
      </c>
      <c r="H194" s="29"/>
      <c r="I194" s="30" t="str">
        <f>IF(OR(E194="",H194="",NOT(AND(ISNUMBER(F194),ISNUMBER(H194)))),"",H194*F194*(1+'0. Oppsett'!$C$11))</f>
        <v/>
      </c>
    </row>
    <row r="195" spans="1:9" ht="15.75" thickBot="1" x14ac:dyDescent="0.3">
      <c r="A195" s="17">
        <v>191</v>
      </c>
      <c r="B195" s="36"/>
      <c r="C195" s="18"/>
      <c r="D195" s="18" t="str">
        <f>IFERROR(_xlfn.XLOOKUP($C195,factPensjon[Virksomhetsnr.],factPensjon[Forpliktelser]),"")</f>
        <v/>
      </c>
      <c r="E195" s="27"/>
      <c r="F195" s="28" t="str">
        <f>IFERROR(IF(E195="A",'0. Oppsett'!$C$23,IF(E195="B",'0. Oppsett'!$C$24,IF(E195="C",'0. Oppsett'!$C$25,""))),"")</f>
        <v/>
      </c>
      <c r="G195" s="20">
        <f>SUMIFS(BasilRadata[8E. Oppgi antall årsverk barnehagen har pensjonsforpliktelser for:],'1. BASIL-rådata'!$I$3:$I$500,'X. Satser pensjonstilskudd'!$C195,BasilRadata[År],'0. Oppsett'!$C$8)</f>
        <v>0</v>
      </c>
      <c r="H195" s="29"/>
      <c r="I195" s="30" t="str">
        <f>IF(OR(E195="",H195="",NOT(AND(ISNUMBER(F195),ISNUMBER(H195)))),"",H195*F195*(1+'0. Oppsett'!$C$11))</f>
        <v/>
      </c>
    </row>
    <row r="196" spans="1:9" ht="15.75" thickBot="1" x14ac:dyDescent="0.3">
      <c r="A196" s="21">
        <v>192</v>
      </c>
      <c r="B196" s="36"/>
      <c r="C196" s="18"/>
      <c r="D196" s="18" t="str">
        <f>IFERROR(_xlfn.XLOOKUP($C196,factPensjon[Virksomhetsnr.],factPensjon[Forpliktelser]),"")</f>
        <v/>
      </c>
      <c r="E196" s="27"/>
      <c r="F196" s="28" t="str">
        <f>IFERROR(IF(E196="A",'0. Oppsett'!$C$23,IF(E196="B",'0. Oppsett'!$C$24,IF(E196="C",'0. Oppsett'!$C$25,""))),"")</f>
        <v/>
      </c>
      <c r="G196" s="20">
        <f>SUMIFS(BasilRadata[8E. Oppgi antall årsverk barnehagen har pensjonsforpliktelser for:],'1. BASIL-rådata'!$I$3:$I$500,'X. Satser pensjonstilskudd'!$C196,BasilRadata[År],'0. Oppsett'!$C$8)</f>
        <v>0</v>
      </c>
      <c r="H196" s="29"/>
      <c r="I196" s="30" t="str">
        <f>IF(OR(E196="",H196="",NOT(AND(ISNUMBER(F196),ISNUMBER(H196)))),"",H196*F196*(1+'0. Oppsett'!$C$11))</f>
        <v/>
      </c>
    </row>
    <row r="197" spans="1:9" ht="15.75" thickBot="1" x14ac:dyDescent="0.3">
      <c r="A197" s="17">
        <v>193</v>
      </c>
      <c r="B197" s="36"/>
      <c r="C197" s="18"/>
      <c r="D197" s="18" t="str">
        <f>IFERROR(_xlfn.XLOOKUP($C197,factPensjon[Virksomhetsnr.],factPensjon[Forpliktelser]),"")</f>
        <v/>
      </c>
      <c r="E197" s="27"/>
      <c r="F197" s="28" t="str">
        <f>IFERROR(IF(E197="A",'0. Oppsett'!$C$23,IF(E197="B",'0. Oppsett'!$C$24,IF(E197="C",'0. Oppsett'!$C$25,""))),"")</f>
        <v/>
      </c>
      <c r="G197" s="20">
        <f>SUMIFS(BasilRadata[8E. Oppgi antall årsverk barnehagen har pensjonsforpliktelser for:],'1. BASIL-rådata'!$I$3:$I$500,'X. Satser pensjonstilskudd'!$C197,BasilRadata[År],'0. Oppsett'!$C$8)</f>
        <v>0</v>
      </c>
      <c r="H197" s="29"/>
      <c r="I197" s="30" t="str">
        <f>IF(OR(E197="",H197="",NOT(AND(ISNUMBER(F197),ISNUMBER(H197)))),"",H197*F197*(1+'0. Oppsett'!$C$11))</f>
        <v/>
      </c>
    </row>
    <row r="198" spans="1:9" ht="15.75" thickBot="1" x14ac:dyDescent="0.3">
      <c r="A198" s="21">
        <v>194</v>
      </c>
      <c r="B198" s="36"/>
      <c r="C198" s="18"/>
      <c r="D198" s="18" t="str">
        <f>IFERROR(_xlfn.XLOOKUP($C198,factPensjon[Virksomhetsnr.],factPensjon[Forpliktelser]),"")</f>
        <v/>
      </c>
      <c r="E198" s="27"/>
      <c r="F198" s="28" t="str">
        <f>IFERROR(IF(E198="A",'0. Oppsett'!$C$23,IF(E198="B",'0. Oppsett'!$C$24,IF(E198="C",'0. Oppsett'!$C$25,""))),"")</f>
        <v/>
      </c>
      <c r="G198" s="20">
        <f>SUMIFS(BasilRadata[8E. Oppgi antall årsverk barnehagen har pensjonsforpliktelser for:],'1. BASIL-rådata'!$I$3:$I$500,'X. Satser pensjonstilskudd'!$C198,BasilRadata[År],'0. Oppsett'!$C$8)</f>
        <v>0</v>
      </c>
      <c r="H198" s="29"/>
      <c r="I198" s="30" t="str">
        <f>IF(OR(E198="",H198="",NOT(AND(ISNUMBER(F198),ISNUMBER(H198)))),"",H198*F198*(1+'0. Oppsett'!$C$11))</f>
        <v/>
      </c>
    </row>
    <row r="199" spans="1:9" ht="15.75" thickBot="1" x14ac:dyDescent="0.3">
      <c r="A199" s="17">
        <v>195</v>
      </c>
      <c r="B199" s="36"/>
      <c r="C199" s="18"/>
      <c r="D199" s="18" t="str">
        <f>IFERROR(_xlfn.XLOOKUP($C199,factPensjon[Virksomhetsnr.],factPensjon[Forpliktelser]),"")</f>
        <v/>
      </c>
      <c r="E199" s="27"/>
      <c r="F199" s="28" t="str">
        <f>IFERROR(IF(E199="A",'0. Oppsett'!$C$23,IF(E199="B",'0. Oppsett'!$C$24,IF(E199="C",'0. Oppsett'!$C$25,""))),"")</f>
        <v/>
      </c>
      <c r="G199" s="20">
        <f>SUMIFS(BasilRadata[8E. Oppgi antall årsverk barnehagen har pensjonsforpliktelser for:],'1. BASIL-rådata'!$I$3:$I$500,'X. Satser pensjonstilskudd'!$C199,BasilRadata[År],'0. Oppsett'!$C$8)</f>
        <v>0</v>
      </c>
      <c r="H199" s="29"/>
      <c r="I199" s="30" t="str">
        <f>IF(OR(E199="",H199="",NOT(AND(ISNUMBER(F199),ISNUMBER(H199)))),"",H199*F199*(1+'0. Oppsett'!$C$11))</f>
        <v/>
      </c>
    </row>
    <row r="200" spans="1:9" ht="15.75" thickBot="1" x14ac:dyDescent="0.3">
      <c r="A200" s="21">
        <v>196</v>
      </c>
      <c r="B200" s="36"/>
      <c r="C200" s="18"/>
      <c r="D200" s="18" t="str">
        <f>IFERROR(_xlfn.XLOOKUP($C200,factPensjon[Virksomhetsnr.],factPensjon[Forpliktelser]),"")</f>
        <v/>
      </c>
      <c r="E200" s="27"/>
      <c r="F200" s="28" t="str">
        <f>IFERROR(IF(E200="A",'0. Oppsett'!$C$23,IF(E200="B",'0. Oppsett'!$C$24,IF(E200="C",'0. Oppsett'!$C$25,""))),"")</f>
        <v/>
      </c>
      <c r="G200" s="20">
        <f>SUMIFS(BasilRadata[8E. Oppgi antall årsverk barnehagen har pensjonsforpliktelser for:],'1. BASIL-rådata'!$I$3:$I$500,'X. Satser pensjonstilskudd'!$C200,BasilRadata[År],'0. Oppsett'!$C$8)</f>
        <v>0</v>
      </c>
      <c r="H200" s="29"/>
      <c r="I200" s="30" t="str">
        <f>IF(OR(E200="",H200="",NOT(AND(ISNUMBER(F200),ISNUMBER(H200)))),"",H200*F200*(1+'0. Oppsett'!$C$11))</f>
        <v/>
      </c>
    </row>
    <row r="201" spans="1:9" ht="15.75" thickBot="1" x14ac:dyDescent="0.3">
      <c r="A201" s="17">
        <v>197</v>
      </c>
      <c r="B201" s="36"/>
      <c r="C201" s="18"/>
      <c r="D201" s="18" t="str">
        <f>IFERROR(_xlfn.XLOOKUP($C201,factPensjon[Virksomhetsnr.],factPensjon[Forpliktelser]),"")</f>
        <v/>
      </c>
      <c r="E201" s="27"/>
      <c r="F201" s="28" t="str">
        <f>IFERROR(IF(E201="A",'0. Oppsett'!$C$23,IF(E201="B",'0. Oppsett'!$C$24,IF(E201="C",'0. Oppsett'!$C$25,""))),"")</f>
        <v/>
      </c>
      <c r="G201" s="20">
        <f>SUMIFS(BasilRadata[8E. Oppgi antall årsverk barnehagen har pensjonsforpliktelser for:],'1. BASIL-rådata'!$I$3:$I$500,'X. Satser pensjonstilskudd'!$C201,BasilRadata[År],'0. Oppsett'!$C$8)</f>
        <v>0</v>
      </c>
      <c r="H201" s="29"/>
      <c r="I201" s="30" t="str">
        <f>IF(OR(E201="",H201="",NOT(AND(ISNUMBER(F201),ISNUMBER(H201)))),"",H201*F201*(1+'0. Oppsett'!$C$11))</f>
        <v/>
      </c>
    </row>
    <row r="202" spans="1:9" ht="15.75" thickBot="1" x14ac:dyDescent="0.3">
      <c r="A202" s="21">
        <v>198</v>
      </c>
      <c r="B202" s="36"/>
      <c r="C202" s="18"/>
      <c r="D202" s="18" t="str">
        <f>IFERROR(_xlfn.XLOOKUP($C202,factPensjon[Virksomhetsnr.],factPensjon[Forpliktelser]),"")</f>
        <v/>
      </c>
      <c r="E202" s="27"/>
      <c r="F202" s="28" t="str">
        <f>IFERROR(IF(E202="A",'0. Oppsett'!$C$23,IF(E202="B",'0. Oppsett'!$C$24,IF(E202="C",'0. Oppsett'!$C$25,""))),"")</f>
        <v/>
      </c>
      <c r="G202" s="20">
        <f>SUMIFS(BasilRadata[8E. Oppgi antall årsverk barnehagen har pensjonsforpliktelser for:],'1. BASIL-rådata'!$I$3:$I$500,'X. Satser pensjonstilskudd'!$C202,BasilRadata[År],'0. Oppsett'!$C$8)</f>
        <v>0</v>
      </c>
      <c r="H202" s="29"/>
      <c r="I202" s="30" t="str">
        <f>IF(OR(E202="",H202="",NOT(AND(ISNUMBER(F202),ISNUMBER(H202)))),"",H202*F202*(1+'0. Oppsett'!$C$11))</f>
        <v/>
      </c>
    </row>
    <row r="203" spans="1:9" ht="15.75" thickBot="1" x14ac:dyDescent="0.3">
      <c r="A203" s="17">
        <v>199</v>
      </c>
      <c r="B203" s="36"/>
      <c r="C203" s="18"/>
      <c r="D203" s="18" t="str">
        <f>IFERROR(_xlfn.XLOOKUP($C203,factPensjon[Virksomhetsnr.],factPensjon[Forpliktelser]),"")</f>
        <v/>
      </c>
      <c r="E203" s="27"/>
      <c r="F203" s="28" t="str">
        <f>IFERROR(IF(E203="A",'0. Oppsett'!$C$23,IF(E203="B",'0. Oppsett'!$C$24,IF(E203="C",'0. Oppsett'!$C$25,""))),"")</f>
        <v/>
      </c>
      <c r="G203" s="20">
        <f>SUMIFS(BasilRadata[8E. Oppgi antall årsverk barnehagen har pensjonsforpliktelser for:],'1. BASIL-rådata'!$I$3:$I$500,'X. Satser pensjonstilskudd'!$C203,BasilRadata[År],'0. Oppsett'!$C$8)</f>
        <v>0</v>
      </c>
      <c r="H203" s="29"/>
      <c r="I203" s="30" t="str">
        <f>IF(OR(E203="",H203="",NOT(AND(ISNUMBER(F203),ISNUMBER(H203)))),"",H203*F203*(1+'0. Oppsett'!$C$11))</f>
        <v/>
      </c>
    </row>
    <row r="204" spans="1:9" ht="15.75" thickBot="1" x14ac:dyDescent="0.3">
      <c r="A204" s="21">
        <v>200</v>
      </c>
      <c r="B204" s="36"/>
      <c r="C204" s="18"/>
      <c r="D204" s="18" t="str">
        <f>IFERROR(_xlfn.XLOOKUP($C204,factPensjon[Virksomhetsnr.],factPensjon[Forpliktelser]),"")</f>
        <v/>
      </c>
      <c r="E204" s="27"/>
      <c r="F204" s="28" t="str">
        <f>IFERROR(IF(E204="A",'0. Oppsett'!$C$23,IF(E204="B",'0. Oppsett'!$C$24,IF(E204="C",'0. Oppsett'!$C$25,""))),"")</f>
        <v/>
      </c>
      <c r="G204" s="20">
        <f>SUMIFS(BasilRadata[8E. Oppgi antall årsverk barnehagen har pensjonsforpliktelser for:],'1. BASIL-rådata'!$I$3:$I$500,'X. Satser pensjonstilskudd'!$C204,BasilRadata[År],'0. Oppsett'!$C$8)</f>
        <v>0</v>
      </c>
      <c r="H204" s="29"/>
      <c r="I204" s="30" t="str">
        <f>IF(OR(E204="",H204="",NOT(AND(ISNUMBER(F204),ISNUMBER(H204)))),"",H204*F204*(1+'0. Oppsett'!$C$11))</f>
        <v/>
      </c>
    </row>
    <row r="205" spans="1:9" ht="15.75" thickBot="1" x14ac:dyDescent="0.3">
      <c r="A205" s="17">
        <v>201</v>
      </c>
      <c r="B205" s="36"/>
      <c r="C205" s="18"/>
      <c r="D205" s="18" t="str">
        <f>IFERROR(_xlfn.XLOOKUP($C205,factPensjon[Virksomhetsnr.],factPensjon[Forpliktelser]),"")</f>
        <v/>
      </c>
      <c r="E205" s="27"/>
      <c r="F205" s="28" t="str">
        <f>IFERROR(IF(E205="A",'0. Oppsett'!$C$23,IF(E205="B",'0. Oppsett'!$C$24,IF(E205="C",'0. Oppsett'!$C$25,""))),"")</f>
        <v/>
      </c>
      <c r="G205" s="20">
        <f>SUMIFS(BasilRadata[8E. Oppgi antall årsverk barnehagen har pensjonsforpliktelser for:],'1. BASIL-rådata'!$I$3:$I$500,'X. Satser pensjonstilskudd'!$C205,BasilRadata[År],'0. Oppsett'!$C$8)</f>
        <v>0</v>
      </c>
      <c r="H205" s="29"/>
      <c r="I205" s="30" t="str">
        <f>IF(OR(E205="",H205="",NOT(AND(ISNUMBER(F205),ISNUMBER(H205)))),"",H205*F205*(1+'0. Oppsett'!$C$11))</f>
        <v/>
      </c>
    </row>
    <row r="206" spans="1:9" ht="15.75" thickBot="1" x14ac:dyDescent="0.3">
      <c r="A206" s="21">
        <v>202</v>
      </c>
      <c r="B206" s="36"/>
      <c r="C206" s="18"/>
      <c r="D206" s="18" t="str">
        <f>IFERROR(_xlfn.XLOOKUP($C206,factPensjon[Virksomhetsnr.],factPensjon[Forpliktelser]),"")</f>
        <v/>
      </c>
      <c r="E206" s="27"/>
      <c r="F206" s="28" t="str">
        <f>IFERROR(IF(E206="A",'0. Oppsett'!$C$23,IF(E206="B",'0. Oppsett'!$C$24,IF(E206="C",'0. Oppsett'!$C$25,""))),"")</f>
        <v/>
      </c>
      <c r="G206" s="20">
        <f>SUMIFS(BasilRadata[8E. Oppgi antall årsverk barnehagen har pensjonsforpliktelser for:],'1. BASIL-rådata'!$I$3:$I$500,'X. Satser pensjonstilskudd'!$C206,BasilRadata[År],'0. Oppsett'!$C$8)</f>
        <v>0</v>
      </c>
      <c r="H206" s="29"/>
      <c r="I206" s="30" t="str">
        <f>IF(OR(E206="",H206="",NOT(AND(ISNUMBER(F206),ISNUMBER(H206)))),"",H206*F206*(1+'0. Oppsett'!$C$11))</f>
        <v/>
      </c>
    </row>
    <row r="207" spans="1:9" ht="15.75" thickBot="1" x14ac:dyDescent="0.3">
      <c r="A207" s="17">
        <v>203</v>
      </c>
      <c r="B207" s="36"/>
      <c r="C207" s="18"/>
      <c r="D207" s="18" t="str">
        <f>IFERROR(_xlfn.XLOOKUP($C207,factPensjon[Virksomhetsnr.],factPensjon[Forpliktelser]),"")</f>
        <v/>
      </c>
      <c r="E207" s="27"/>
      <c r="F207" s="28" t="str">
        <f>IFERROR(IF(E207="A",'0. Oppsett'!$C$23,IF(E207="B",'0. Oppsett'!$C$24,IF(E207="C",'0. Oppsett'!$C$25,""))),"")</f>
        <v/>
      </c>
      <c r="G207" s="20">
        <f>SUMIFS(BasilRadata[8E. Oppgi antall årsverk barnehagen har pensjonsforpliktelser for:],'1. BASIL-rådata'!$I$3:$I$500,'X. Satser pensjonstilskudd'!$C207,BasilRadata[År],'0. Oppsett'!$C$8)</f>
        <v>0</v>
      </c>
      <c r="H207" s="29"/>
      <c r="I207" s="30" t="str">
        <f>IF(OR(E207="",H207="",NOT(AND(ISNUMBER(F207),ISNUMBER(H207)))),"",H207*F207*(1+'0. Oppsett'!$C$11))</f>
        <v/>
      </c>
    </row>
    <row r="208" spans="1:9" ht="15.75" thickBot="1" x14ac:dyDescent="0.3">
      <c r="A208" s="21">
        <v>204</v>
      </c>
      <c r="B208" s="36"/>
      <c r="C208" s="18"/>
      <c r="D208" s="18" t="str">
        <f>IFERROR(_xlfn.XLOOKUP($C208,factPensjon[Virksomhetsnr.],factPensjon[Forpliktelser]),"")</f>
        <v/>
      </c>
      <c r="E208" s="27"/>
      <c r="F208" s="28" t="str">
        <f>IFERROR(IF(E208="A",'0. Oppsett'!$C$23,IF(E208="B",'0. Oppsett'!$C$24,IF(E208="C",'0. Oppsett'!$C$25,""))),"")</f>
        <v/>
      </c>
      <c r="G208" s="20">
        <f>SUMIFS(BasilRadata[8E. Oppgi antall årsverk barnehagen har pensjonsforpliktelser for:],'1. BASIL-rådata'!$I$3:$I$500,'X. Satser pensjonstilskudd'!$C208,BasilRadata[År],'0. Oppsett'!$C$8)</f>
        <v>0</v>
      </c>
      <c r="H208" s="29"/>
      <c r="I208" s="30" t="str">
        <f>IF(OR(E208="",H208="",NOT(AND(ISNUMBER(F208),ISNUMBER(H208)))),"",H208*F208*(1+'0. Oppsett'!$C$11))</f>
        <v/>
      </c>
    </row>
    <row r="209" spans="1:9" ht="15.75" thickBot="1" x14ac:dyDescent="0.3">
      <c r="A209" s="17">
        <v>205</v>
      </c>
      <c r="B209" s="36"/>
      <c r="C209" s="18"/>
      <c r="D209" s="18" t="str">
        <f>IFERROR(_xlfn.XLOOKUP($C209,factPensjon[Virksomhetsnr.],factPensjon[Forpliktelser]),"")</f>
        <v/>
      </c>
      <c r="E209" s="27"/>
      <c r="F209" s="28" t="str">
        <f>IFERROR(IF(E209="A",'0. Oppsett'!$C$23,IF(E209="B",'0. Oppsett'!$C$24,IF(E209="C",'0. Oppsett'!$C$25,""))),"")</f>
        <v/>
      </c>
      <c r="G209" s="20">
        <f>SUMIFS(BasilRadata[8E. Oppgi antall årsverk barnehagen har pensjonsforpliktelser for:],'1. BASIL-rådata'!$I$3:$I$500,'X. Satser pensjonstilskudd'!$C209,BasilRadata[År],'0. Oppsett'!$C$8)</f>
        <v>0</v>
      </c>
      <c r="H209" s="29"/>
      <c r="I209" s="30" t="str">
        <f>IF(OR(E209="",H209="",NOT(AND(ISNUMBER(F209),ISNUMBER(H209)))),"",H209*F209*(1+'0. Oppsett'!$C$11))</f>
        <v/>
      </c>
    </row>
    <row r="210" spans="1:9" ht="15.75" thickBot="1" x14ac:dyDescent="0.3">
      <c r="A210" s="21">
        <v>206</v>
      </c>
      <c r="B210" s="36"/>
      <c r="C210" s="18"/>
      <c r="D210" s="18" t="str">
        <f>IFERROR(_xlfn.XLOOKUP($C210,factPensjon[Virksomhetsnr.],factPensjon[Forpliktelser]),"")</f>
        <v/>
      </c>
      <c r="E210" s="27"/>
      <c r="F210" s="28" t="str">
        <f>IFERROR(IF(E210="A",'0. Oppsett'!$C$23,IF(E210="B",'0. Oppsett'!$C$24,IF(E210="C",'0. Oppsett'!$C$25,""))),"")</f>
        <v/>
      </c>
      <c r="G210" s="20">
        <f>SUMIFS(BasilRadata[8E. Oppgi antall årsverk barnehagen har pensjonsforpliktelser for:],'1. BASIL-rådata'!$I$3:$I$500,'X. Satser pensjonstilskudd'!$C210,BasilRadata[År],'0. Oppsett'!$C$8)</f>
        <v>0</v>
      </c>
      <c r="H210" s="29"/>
      <c r="I210" s="30" t="str">
        <f>IF(OR(E210="",H210="",NOT(AND(ISNUMBER(F210),ISNUMBER(H210)))),"",H210*F210*(1+'0. Oppsett'!$C$11))</f>
        <v/>
      </c>
    </row>
    <row r="211" spans="1:9" ht="15.75" thickBot="1" x14ac:dyDescent="0.3">
      <c r="A211" s="17">
        <v>207</v>
      </c>
      <c r="B211" s="36"/>
      <c r="C211" s="18"/>
      <c r="D211" s="18" t="str">
        <f>IFERROR(_xlfn.XLOOKUP($C211,factPensjon[Virksomhetsnr.],factPensjon[Forpliktelser]),"")</f>
        <v/>
      </c>
      <c r="E211" s="27"/>
      <c r="F211" s="28" t="str">
        <f>IFERROR(IF(E211="A",'0. Oppsett'!$C$23,IF(E211="B",'0. Oppsett'!$C$24,IF(E211="C",'0. Oppsett'!$C$25,""))),"")</f>
        <v/>
      </c>
      <c r="G211" s="20">
        <f>SUMIFS(BasilRadata[8E. Oppgi antall årsverk barnehagen har pensjonsforpliktelser for:],'1. BASIL-rådata'!$I$3:$I$500,'X. Satser pensjonstilskudd'!$C211,BasilRadata[År],'0. Oppsett'!$C$8)</f>
        <v>0</v>
      </c>
      <c r="H211" s="29"/>
      <c r="I211" s="30" t="str">
        <f>IF(OR(E211="",H211="",NOT(AND(ISNUMBER(F211),ISNUMBER(H211)))),"",H211*F211*(1+'0. Oppsett'!$C$11))</f>
        <v/>
      </c>
    </row>
    <row r="212" spans="1:9" ht="15.75" thickBot="1" x14ac:dyDescent="0.3">
      <c r="A212" s="21">
        <v>208</v>
      </c>
      <c r="B212" s="36"/>
      <c r="C212" s="18"/>
      <c r="D212" s="18" t="str">
        <f>IFERROR(_xlfn.XLOOKUP($C212,factPensjon[Virksomhetsnr.],factPensjon[Forpliktelser]),"")</f>
        <v/>
      </c>
      <c r="E212" s="27"/>
      <c r="F212" s="28" t="str">
        <f>IFERROR(IF(E212="A",'0. Oppsett'!$C$23,IF(E212="B",'0. Oppsett'!$C$24,IF(E212="C",'0. Oppsett'!$C$25,""))),"")</f>
        <v/>
      </c>
      <c r="G212" s="20">
        <f>SUMIFS(BasilRadata[8E. Oppgi antall årsverk barnehagen har pensjonsforpliktelser for:],'1. BASIL-rådata'!$I$3:$I$500,'X. Satser pensjonstilskudd'!$C212,BasilRadata[År],'0. Oppsett'!$C$8)</f>
        <v>0</v>
      </c>
      <c r="H212" s="29"/>
      <c r="I212" s="30" t="str">
        <f>IF(OR(E212="",H212="",NOT(AND(ISNUMBER(F212),ISNUMBER(H212)))),"",H212*F212*(1+'0. Oppsett'!$C$11))</f>
        <v/>
      </c>
    </row>
    <row r="213" spans="1:9" ht="15.75" thickBot="1" x14ac:dyDescent="0.3">
      <c r="A213" s="17">
        <v>209</v>
      </c>
      <c r="B213" s="36"/>
      <c r="C213" s="18"/>
      <c r="D213" s="18" t="str">
        <f>IFERROR(_xlfn.XLOOKUP($C213,factPensjon[Virksomhetsnr.],factPensjon[Forpliktelser]),"")</f>
        <v/>
      </c>
      <c r="E213" s="27"/>
      <c r="F213" s="28" t="str">
        <f>IFERROR(IF(E213="A",'0. Oppsett'!$C$23,IF(E213="B",'0. Oppsett'!$C$24,IF(E213="C",'0. Oppsett'!$C$25,""))),"")</f>
        <v/>
      </c>
      <c r="G213" s="20">
        <f>SUMIFS(BasilRadata[8E. Oppgi antall årsverk barnehagen har pensjonsforpliktelser for:],'1. BASIL-rådata'!$I$3:$I$500,'X. Satser pensjonstilskudd'!$C213,BasilRadata[År],'0. Oppsett'!$C$8)</f>
        <v>0</v>
      </c>
      <c r="H213" s="29"/>
      <c r="I213" s="30" t="str">
        <f>IF(OR(E213="",H213="",NOT(AND(ISNUMBER(F213),ISNUMBER(H213)))),"",H213*F213*(1+'0. Oppsett'!$C$11))</f>
        <v/>
      </c>
    </row>
    <row r="214" spans="1:9" ht="15.75" thickBot="1" x14ac:dyDescent="0.3">
      <c r="A214" s="21">
        <v>210</v>
      </c>
      <c r="B214" s="36"/>
      <c r="C214" s="18"/>
      <c r="D214" s="18" t="str">
        <f>IFERROR(_xlfn.XLOOKUP($C214,factPensjon[Virksomhetsnr.],factPensjon[Forpliktelser]),"")</f>
        <v/>
      </c>
      <c r="E214" s="27"/>
      <c r="F214" s="28" t="str">
        <f>IFERROR(IF(E214="A",'0. Oppsett'!$C$23,IF(E214="B",'0. Oppsett'!$C$24,IF(E214="C",'0. Oppsett'!$C$25,""))),"")</f>
        <v/>
      </c>
      <c r="G214" s="20">
        <f>SUMIFS(BasilRadata[8E. Oppgi antall årsverk barnehagen har pensjonsforpliktelser for:],'1. BASIL-rådata'!$I$3:$I$500,'X. Satser pensjonstilskudd'!$C214,BasilRadata[År],'0. Oppsett'!$C$8)</f>
        <v>0</v>
      </c>
      <c r="H214" s="29"/>
      <c r="I214" s="30" t="str">
        <f>IF(OR(E214="",H214="",NOT(AND(ISNUMBER(F214),ISNUMBER(H214)))),"",H214*F214*(1+'0. Oppsett'!$C$11))</f>
        <v/>
      </c>
    </row>
    <row r="215" spans="1:9" ht="15.75" thickBot="1" x14ac:dyDescent="0.3">
      <c r="A215" s="17">
        <v>211</v>
      </c>
      <c r="B215" s="36"/>
      <c r="C215" s="18"/>
      <c r="D215" s="18" t="str">
        <f>IFERROR(_xlfn.XLOOKUP($C215,factPensjon[Virksomhetsnr.],factPensjon[Forpliktelser]),"")</f>
        <v/>
      </c>
      <c r="E215" s="27"/>
      <c r="F215" s="28" t="str">
        <f>IFERROR(IF(E215="A",'0. Oppsett'!$C$23,IF(E215="B",'0. Oppsett'!$C$24,IF(E215="C",'0. Oppsett'!$C$25,""))),"")</f>
        <v/>
      </c>
      <c r="G215" s="20">
        <f>SUMIFS(BasilRadata[8E. Oppgi antall årsverk barnehagen har pensjonsforpliktelser for:],'1. BASIL-rådata'!$I$3:$I$500,'X. Satser pensjonstilskudd'!$C215,BasilRadata[År],'0. Oppsett'!$C$8)</f>
        <v>0</v>
      </c>
      <c r="H215" s="29"/>
      <c r="I215" s="30" t="str">
        <f>IF(OR(E215="",H215="",NOT(AND(ISNUMBER(F215),ISNUMBER(H215)))),"",H215*F215*(1+'0. Oppsett'!$C$11))</f>
        <v/>
      </c>
    </row>
    <row r="216" spans="1:9" ht="15.75" thickBot="1" x14ac:dyDescent="0.3">
      <c r="A216" s="21">
        <v>212</v>
      </c>
      <c r="B216" s="36"/>
      <c r="C216" s="18"/>
      <c r="D216" s="18" t="str">
        <f>IFERROR(_xlfn.XLOOKUP($C216,factPensjon[Virksomhetsnr.],factPensjon[Forpliktelser]),"")</f>
        <v/>
      </c>
      <c r="E216" s="27"/>
      <c r="F216" s="28" t="str">
        <f>IFERROR(IF(E216="A",'0. Oppsett'!$C$23,IF(E216="B",'0. Oppsett'!$C$24,IF(E216="C",'0. Oppsett'!$C$25,""))),"")</f>
        <v/>
      </c>
      <c r="G216" s="20">
        <f>SUMIFS(BasilRadata[8E. Oppgi antall årsverk barnehagen har pensjonsforpliktelser for:],'1. BASIL-rådata'!$I$3:$I$500,'X. Satser pensjonstilskudd'!$C216,BasilRadata[År],'0. Oppsett'!$C$8)</f>
        <v>0</v>
      </c>
      <c r="H216" s="29"/>
      <c r="I216" s="30" t="str">
        <f>IF(OR(E216="",H216="",NOT(AND(ISNUMBER(F216),ISNUMBER(H216)))),"",H216*F216*(1+'0. Oppsett'!$C$11))</f>
        <v/>
      </c>
    </row>
    <row r="217" spans="1:9" ht="15.75" thickBot="1" x14ac:dyDescent="0.3">
      <c r="A217" s="17">
        <v>213</v>
      </c>
      <c r="B217" s="36"/>
      <c r="C217" s="18"/>
      <c r="D217" s="18" t="str">
        <f>IFERROR(_xlfn.XLOOKUP($C217,factPensjon[Virksomhetsnr.],factPensjon[Forpliktelser]),"")</f>
        <v/>
      </c>
      <c r="E217" s="27"/>
      <c r="F217" s="28" t="str">
        <f>IFERROR(IF(E217="A",'0. Oppsett'!$C$23,IF(E217="B",'0. Oppsett'!$C$24,IF(E217="C",'0. Oppsett'!$C$25,""))),"")</f>
        <v/>
      </c>
      <c r="G217" s="20">
        <f>SUMIFS(BasilRadata[8E. Oppgi antall årsverk barnehagen har pensjonsforpliktelser for:],'1. BASIL-rådata'!$I$3:$I$500,'X. Satser pensjonstilskudd'!$C217,BasilRadata[År],'0. Oppsett'!$C$8)</f>
        <v>0</v>
      </c>
      <c r="H217" s="29"/>
      <c r="I217" s="30" t="str">
        <f>IF(OR(E217="",H217="",NOT(AND(ISNUMBER(F217),ISNUMBER(H217)))),"",H217*F217*(1+'0. Oppsett'!$C$11))</f>
        <v/>
      </c>
    </row>
    <row r="218" spans="1:9" ht="15.75" thickBot="1" x14ac:dyDescent="0.3">
      <c r="A218" s="21">
        <v>214</v>
      </c>
      <c r="B218" s="36"/>
      <c r="C218" s="18"/>
      <c r="D218" s="18" t="str">
        <f>IFERROR(_xlfn.XLOOKUP($C218,factPensjon[Virksomhetsnr.],factPensjon[Forpliktelser]),"")</f>
        <v/>
      </c>
      <c r="E218" s="27"/>
      <c r="F218" s="28" t="str">
        <f>IFERROR(IF(E218="A",'0. Oppsett'!$C$23,IF(E218="B",'0. Oppsett'!$C$24,IF(E218="C",'0. Oppsett'!$C$25,""))),"")</f>
        <v/>
      </c>
      <c r="G218" s="20">
        <f>SUMIFS(BasilRadata[8E. Oppgi antall årsverk barnehagen har pensjonsforpliktelser for:],'1. BASIL-rådata'!$I$3:$I$500,'X. Satser pensjonstilskudd'!$C218,BasilRadata[År],'0. Oppsett'!$C$8)</f>
        <v>0</v>
      </c>
      <c r="H218" s="29"/>
      <c r="I218" s="30" t="str">
        <f>IF(OR(E218="",H218="",NOT(AND(ISNUMBER(F218),ISNUMBER(H218)))),"",H218*F218*(1+'0. Oppsett'!$C$11))</f>
        <v/>
      </c>
    </row>
    <row r="219" spans="1:9" ht="15.75" thickBot="1" x14ac:dyDescent="0.3">
      <c r="A219" s="17">
        <v>215</v>
      </c>
      <c r="B219" s="36"/>
      <c r="C219" s="18"/>
      <c r="D219" s="18" t="str">
        <f>IFERROR(_xlfn.XLOOKUP($C219,factPensjon[Virksomhetsnr.],factPensjon[Forpliktelser]),"")</f>
        <v/>
      </c>
      <c r="E219" s="27"/>
      <c r="F219" s="28" t="str">
        <f>IFERROR(IF(E219="A",'0. Oppsett'!$C$23,IF(E219="B",'0. Oppsett'!$C$24,IF(E219="C",'0. Oppsett'!$C$25,""))),"")</f>
        <v/>
      </c>
      <c r="G219" s="20">
        <f>SUMIFS(BasilRadata[8E. Oppgi antall årsverk barnehagen har pensjonsforpliktelser for:],'1. BASIL-rådata'!$I$3:$I$500,'X. Satser pensjonstilskudd'!$C219,BasilRadata[År],'0. Oppsett'!$C$8)</f>
        <v>0</v>
      </c>
      <c r="H219" s="29"/>
      <c r="I219" s="30" t="str">
        <f>IF(OR(E219="",H219="",NOT(AND(ISNUMBER(F219),ISNUMBER(H219)))),"",H219*F219*(1+'0. Oppsett'!$C$11))</f>
        <v/>
      </c>
    </row>
    <row r="220" spans="1:9" ht="15.75" thickBot="1" x14ac:dyDescent="0.3">
      <c r="A220" s="21">
        <v>216</v>
      </c>
      <c r="B220" s="36"/>
      <c r="C220" s="18"/>
      <c r="D220" s="18" t="str">
        <f>IFERROR(_xlfn.XLOOKUP($C220,factPensjon[Virksomhetsnr.],factPensjon[Forpliktelser]),"")</f>
        <v/>
      </c>
      <c r="E220" s="27"/>
      <c r="F220" s="28" t="str">
        <f>IFERROR(IF(E220="A",'0. Oppsett'!$C$23,IF(E220="B",'0. Oppsett'!$C$24,IF(E220="C",'0. Oppsett'!$C$25,""))),"")</f>
        <v/>
      </c>
      <c r="G220" s="20">
        <f>SUMIFS(BasilRadata[8E. Oppgi antall årsverk barnehagen har pensjonsforpliktelser for:],'1. BASIL-rådata'!$I$3:$I$500,'X. Satser pensjonstilskudd'!$C220,BasilRadata[År],'0. Oppsett'!$C$8)</f>
        <v>0</v>
      </c>
      <c r="H220" s="29"/>
      <c r="I220" s="30" t="str">
        <f>IF(OR(E220="",H220="",NOT(AND(ISNUMBER(F220),ISNUMBER(H220)))),"",H220*F220*(1+'0. Oppsett'!$C$11))</f>
        <v/>
      </c>
    </row>
    <row r="221" spans="1:9" ht="15.75" thickBot="1" x14ac:dyDescent="0.3">
      <c r="A221" s="17">
        <v>217</v>
      </c>
      <c r="B221" s="36"/>
      <c r="C221" s="18"/>
      <c r="D221" s="18" t="str">
        <f>IFERROR(_xlfn.XLOOKUP($C221,factPensjon[Virksomhetsnr.],factPensjon[Forpliktelser]),"")</f>
        <v/>
      </c>
      <c r="E221" s="27"/>
      <c r="F221" s="28" t="str">
        <f>IFERROR(IF(E221="A",'0. Oppsett'!$C$23,IF(E221="B",'0. Oppsett'!$C$24,IF(E221="C",'0. Oppsett'!$C$25,""))),"")</f>
        <v/>
      </c>
      <c r="G221" s="20">
        <f>SUMIFS(BasilRadata[8E. Oppgi antall årsverk barnehagen har pensjonsforpliktelser for:],'1. BASIL-rådata'!$I$3:$I$500,'X. Satser pensjonstilskudd'!$C221,BasilRadata[År],'0. Oppsett'!$C$8)</f>
        <v>0</v>
      </c>
      <c r="H221" s="29"/>
      <c r="I221" s="30" t="str">
        <f>IF(OR(E221="",H221="",NOT(AND(ISNUMBER(F221),ISNUMBER(H221)))),"",H221*F221*(1+'0. Oppsett'!$C$11))</f>
        <v/>
      </c>
    </row>
    <row r="222" spans="1:9" ht="15.75" thickBot="1" x14ac:dyDescent="0.3">
      <c r="A222" s="21">
        <v>218</v>
      </c>
      <c r="B222" s="36"/>
      <c r="C222" s="18"/>
      <c r="D222" s="18" t="str">
        <f>IFERROR(_xlfn.XLOOKUP($C222,factPensjon[Virksomhetsnr.],factPensjon[Forpliktelser]),"")</f>
        <v/>
      </c>
      <c r="E222" s="27"/>
      <c r="F222" s="28" t="str">
        <f>IFERROR(IF(E222="A",'0. Oppsett'!$C$23,IF(E222="B",'0. Oppsett'!$C$24,IF(E222="C",'0. Oppsett'!$C$25,""))),"")</f>
        <v/>
      </c>
      <c r="G222" s="20">
        <f>SUMIFS(BasilRadata[8E. Oppgi antall årsverk barnehagen har pensjonsforpliktelser for:],'1. BASIL-rådata'!$I$3:$I$500,'X. Satser pensjonstilskudd'!$C222,BasilRadata[År],'0. Oppsett'!$C$8)</f>
        <v>0</v>
      </c>
      <c r="H222" s="29"/>
      <c r="I222" s="30" t="str">
        <f>IF(OR(E222="",H222="",NOT(AND(ISNUMBER(F222),ISNUMBER(H222)))),"",H222*F222*(1+'0. Oppsett'!$C$11))</f>
        <v/>
      </c>
    </row>
    <row r="223" spans="1:9" ht="15.75" thickBot="1" x14ac:dyDescent="0.3">
      <c r="A223" s="17">
        <v>219</v>
      </c>
      <c r="B223" s="36"/>
      <c r="C223" s="18"/>
      <c r="D223" s="18" t="str">
        <f>IFERROR(_xlfn.XLOOKUP($C223,factPensjon[Virksomhetsnr.],factPensjon[Forpliktelser]),"")</f>
        <v/>
      </c>
      <c r="E223" s="27"/>
      <c r="F223" s="28" t="str">
        <f>IFERROR(IF(E223="A",'0. Oppsett'!$C$23,IF(E223="B",'0. Oppsett'!$C$24,IF(E223="C",'0. Oppsett'!$C$25,""))),"")</f>
        <v/>
      </c>
      <c r="G223" s="20">
        <f>SUMIFS(BasilRadata[8E. Oppgi antall årsverk barnehagen har pensjonsforpliktelser for:],'1. BASIL-rådata'!$I$3:$I$500,'X. Satser pensjonstilskudd'!$C223,BasilRadata[År],'0. Oppsett'!$C$8)</f>
        <v>0</v>
      </c>
      <c r="H223" s="29"/>
      <c r="I223" s="30" t="str">
        <f>IF(OR(E223="",H223="",NOT(AND(ISNUMBER(F223),ISNUMBER(H223)))),"",H223*F223*(1+'0. Oppsett'!$C$11))</f>
        <v/>
      </c>
    </row>
    <row r="224" spans="1:9" ht="15.75" thickBot="1" x14ac:dyDescent="0.3">
      <c r="A224" s="21">
        <v>220</v>
      </c>
      <c r="B224" s="36"/>
      <c r="C224" s="18"/>
      <c r="D224" s="18" t="str">
        <f>IFERROR(_xlfn.XLOOKUP($C224,factPensjon[Virksomhetsnr.],factPensjon[Forpliktelser]),"")</f>
        <v/>
      </c>
      <c r="E224" s="27"/>
      <c r="F224" s="28" t="str">
        <f>IFERROR(IF(E224="A",'0. Oppsett'!$C$23,IF(E224="B",'0. Oppsett'!$C$24,IF(E224="C",'0. Oppsett'!$C$25,""))),"")</f>
        <v/>
      </c>
      <c r="G224" s="20">
        <f>SUMIFS(BasilRadata[8E. Oppgi antall årsverk barnehagen har pensjonsforpliktelser for:],'1. BASIL-rådata'!$I$3:$I$500,'X. Satser pensjonstilskudd'!$C224,BasilRadata[År],'0. Oppsett'!$C$8)</f>
        <v>0</v>
      </c>
      <c r="H224" s="29"/>
      <c r="I224" s="30" t="str">
        <f>IF(OR(E224="",H224="",NOT(AND(ISNUMBER(F224),ISNUMBER(H224)))),"",H224*F224*(1+'0. Oppsett'!$C$11))</f>
        <v/>
      </c>
    </row>
    <row r="225" spans="1:9" ht="15.75" thickBot="1" x14ac:dyDescent="0.3">
      <c r="A225" s="228" t="s">
        <v>68</v>
      </c>
      <c r="B225" s="206"/>
      <c r="C225" s="206"/>
      <c r="E225" s="38">
        <f>SUM(E5:E224)</f>
        <v>0</v>
      </c>
      <c r="F225" s="38">
        <f>SUM(F5:F224)</f>
        <v>0.56999999999999995</v>
      </c>
      <c r="G225" s="37">
        <f>SUM(G5:G224)</f>
        <v>0</v>
      </c>
      <c r="H225" s="38" t="e">
        <f>SUM(H5:H224)</f>
        <v>#DIV/0!</v>
      </c>
      <c r="I225" s="38" t="e">
        <f>SUM(I5:I224)/G225</f>
        <v>#DIV/0!</v>
      </c>
    </row>
  </sheetData>
  <mergeCells count="4">
    <mergeCell ref="A2:I2"/>
    <mergeCell ref="A3:C3"/>
    <mergeCell ref="E3:I3"/>
    <mergeCell ref="A225:C225"/>
  </mergeCells>
  <dataValidations disablePrompts="1" count="1">
    <dataValidation type="list" allowBlank="1" sqref="E5:E224" xr:uid="{3A882B8E-4413-41D6-AFFF-E55497A23C96}">
      <formula1>"A,B,C"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www.w3.org/XML/1998/namespace"/>
    <ds:schemaRef ds:uri="150c89e8-bda6-41f5-a88f-d43830c37518"/>
    <ds:schemaRef ds:uri="3e43c297-4f36-4467-b1da-350f845d483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14</vt:i4>
      </vt:variant>
      <vt:variant>
        <vt:lpstr>Navngitte områder</vt:lpstr>
      </vt:variant>
      <vt:variant>
        <vt:i4>6</vt:i4>
      </vt:variant>
    </vt:vector>
  </HeadingPairs>
  <TitlesOfParts>
    <vt:vector size="20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4C. Korreksjoner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Per Langnes</cp:lastModifiedBy>
  <cp:revision/>
  <dcterms:created xsi:type="dcterms:W3CDTF">2026-02-26T08:14:50Z</dcterms:created>
  <dcterms:modified xsi:type="dcterms:W3CDTF">2026-08-18T12:16:34Z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  <property fmtid="{D5CDD505-2E9C-101B-9397-08002B2CF9AE}" pid="4" name="MSIP_Label_e7646c9a-b481-4837-bcc6-911048a5d0ed_Enabled">
    <vt:lpwstr>true</vt:lpwstr>
  </property>
  <property fmtid="{D5CDD505-2E9C-101B-9397-08002B2CF9AE}" pid="5" name="MSIP_Label_e7646c9a-b481-4837-bcc6-911048a5d0ed_SetDate">
    <vt:lpwstr>2026-05-19T07:27:26Z</vt:lpwstr>
  </property>
  <property fmtid="{D5CDD505-2E9C-101B-9397-08002B2CF9AE}" pid="6" name="MSIP_Label_e7646c9a-b481-4837-bcc6-911048a5d0ed_Method">
    <vt:lpwstr>Privileged</vt:lpwstr>
  </property>
  <property fmtid="{D5CDD505-2E9C-101B-9397-08002B2CF9AE}" pid="7" name="MSIP_Label_e7646c9a-b481-4837-bcc6-911048a5d0ed_Name">
    <vt:lpwstr>Open</vt:lpwstr>
  </property>
  <property fmtid="{D5CDD505-2E9C-101B-9397-08002B2CF9AE}" pid="8" name="MSIP_Label_e7646c9a-b481-4837-bcc6-911048a5d0ed_SiteId">
    <vt:lpwstr>41e07e73-30fc-434c-adf2-3ef1c273ecca</vt:lpwstr>
  </property>
  <property fmtid="{D5CDD505-2E9C-101B-9397-08002B2CF9AE}" pid="9" name="MSIP_Label_e7646c9a-b481-4837-bcc6-911048a5d0ed_ActionId">
    <vt:lpwstr>b33ba9ba-b36f-44d9-9714-a6add25dd23b</vt:lpwstr>
  </property>
  <property fmtid="{D5CDD505-2E9C-101B-9397-08002B2CF9AE}" pid="10" name="MSIP_Label_e7646c9a-b481-4837-bcc6-911048a5d0ed_ContentBits">
    <vt:lpwstr>0</vt:lpwstr>
  </property>
  <property fmtid="{D5CDD505-2E9C-101B-9397-08002B2CF9AE}" pid="11" name="MSIP_Label_e7646c9a-b481-4837-bcc6-911048a5d0ed_Tag">
    <vt:lpwstr>10, 0, 1, 1</vt:lpwstr>
  </property>
</Properties>
</file>